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Amendoim/"/>
    </mc:Choice>
  </mc:AlternateContent>
  <xr:revisionPtr revIDLastSave="678" documentId="8_{360D89CF-1CE8-43BE-AACF-A2E034E7F9B6}" xr6:coauthVersionLast="47" xr6:coauthVersionMax="47" xr10:uidLastSave="{F964DAD7-4325-4F3F-AF46-07C2B0EC91E6}"/>
  <bookViews>
    <workbookView xWindow="-120" yWindow="-120" windowWidth="20730" windowHeight="11040" activeTab="1" xr2:uid="{7FCFBA23-B8A6-42BA-8EE4-6003533C7A34}"/>
  </bookViews>
  <sheets>
    <sheet name="CLOMAZONE" sheetId="1" r:id="rId1"/>
    <sheet name="INDAZIFLAM" sheetId="2" r:id="rId2"/>
    <sheet name="SULFENTRAZO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4" i="2"/>
  <c r="I7" i="2"/>
  <c r="I5" i="2"/>
  <c r="I10" i="2"/>
  <c r="I9" i="2"/>
  <c r="I13" i="2"/>
  <c r="I12" i="2"/>
  <c r="I11" i="2"/>
  <c r="I19" i="2"/>
  <c r="I20" i="2"/>
  <c r="I21" i="2"/>
  <c r="I24" i="2"/>
  <c r="I25" i="2"/>
  <c r="I27" i="2"/>
  <c r="I29" i="2"/>
  <c r="I28" i="2"/>
  <c r="R10" i="2"/>
  <c r="R14" i="2"/>
  <c r="R13" i="2"/>
  <c r="V14" i="1"/>
  <c r="T14" i="1"/>
  <c r="U14" i="1"/>
  <c r="S14" i="1"/>
  <c r="R14" i="1"/>
  <c r="W9" i="1"/>
  <c r="W10" i="1"/>
  <c r="W11" i="1"/>
  <c r="W12" i="1"/>
  <c r="W13" i="1"/>
  <c r="W8" i="1"/>
  <c r="I12" i="1"/>
  <c r="V12" i="1"/>
  <c r="I5" i="1"/>
  <c r="I6" i="1"/>
  <c r="I13" i="1"/>
  <c r="I19" i="1"/>
  <c r="I17" i="1"/>
  <c r="I15" i="1"/>
  <c r="I18" i="1"/>
  <c r="V11" i="1" s="1"/>
  <c r="I14" i="1"/>
  <c r="I24" i="1"/>
  <c r="V9" i="1"/>
  <c r="V13" i="1"/>
  <c r="V10" i="1"/>
  <c r="V8" i="1"/>
  <c r="U8" i="1"/>
  <c r="I21" i="3"/>
  <c r="I22" i="3"/>
  <c r="Q9" i="3"/>
  <c r="I14" i="3"/>
  <c r="I16" i="3"/>
  <c r="Q10" i="3"/>
  <c r="I9" i="3"/>
  <c r="I10" i="3"/>
  <c r="I13" i="3"/>
  <c r="Q11" i="3"/>
  <c r="I28" i="3"/>
  <c r="Q8" i="3"/>
  <c r="I23" i="3"/>
  <c r="I27" i="3"/>
  <c r="I26" i="3"/>
  <c r="I25" i="3"/>
  <c r="I24" i="3"/>
  <c r="Q12" i="3"/>
  <c r="Q7" i="3"/>
  <c r="I33" i="3"/>
  <c r="I32" i="3"/>
  <c r="I31" i="3"/>
  <c r="I30" i="3"/>
  <c r="I29" i="3"/>
  <c r="J153" i="1" l="1"/>
  <c r="J123" i="1"/>
  <c r="J93" i="1"/>
  <c r="J63" i="1"/>
  <c r="J33" i="1"/>
  <c r="J152" i="1"/>
  <c r="J122" i="1"/>
  <c r="J92" i="1"/>
  <c r="J62" i="1"/>
  <c r="J32" i="1"/>
  <c r="J151" i="1"/>
  <c r="J121" i="1"/>
  <c r="J91" i="1"/>
  <c r="J61" i="1"/>
  <c r="J31" i="1"/>
  <c r="J150" i="1"/>
  <c r="J120" i="1"/>
  <c r="J90" i="1"/>
  <c r="J60" i="1"/>
  <c r="J30" i="1"/>
  <c r="J149" i="1"/>
  <c r="J119" i="1"/>
  <c r="J89" i="1"/>
  <c r="J59" i="1"/>
  <c r="J29" i="1"/>
  <c r="J148" i="1"/>
  <c r="J88" i="1"/>
  <c r="J28" i="1"/>
  <c r="J147" i="1"/>
  <c r="J117" i="1"/>
  <c r="J27" i="1"/>
  <c r="J146" i="1"/>
  <c r="J116" i="1"/>
  <c r="J86" i="1"/>
  <c r="J26" i="1"/>
  <c r="J145" i="1"/>
  <c r="J85" i="1"/>
  <c r="J25" i="1"/>
  <c r="J144" i="1"/>
  <c r="J114" i="1"/>
  <c r="J84" i="1"/>
  <c r="J54" i="1"/>
  <c r="J24" i="1"/>
  <c r="J143" i="1"/>
  <c r="J113" i="1"/>
  <c r="J83" i="1"/>
  <c r="J53" i="1"/>
  <c r="J23" i="1"/>
  <c r="J142" i="1"/>
  <c r="J112" i="1"/>
  <c r="J82" i="1"/>
  <c r="J52" i="1"/>
  <c r="J22" i="1"/>
  <c r="J141" i="1"/>
  <c r="J111" i="1"/>
  <c r="J81" i="1"/>
  <c r="J21" i="1"/>
  <c r="J140" i="1"/>
  <c r="J80" i="1"/>
  <c r="J50" i="1"/>
  <c r="J20" i="1"/>
  <c r="J139" i="1"/>
  <c r="J109" i="1"/>
  <c r="J79" i="1"/>
  <c r="J49" i="1"/>
  <c r="J19" i="1"/>
  <c r="J138" i="1"/>
  <c r="J108" i="1"/>
  <c r="J78" i="1"/>
  <c r="J48" i="1"/>
  <c r="J18" i="1"/>
  <c r="J137" i="1"/>
  <c r="J107" i="1"/>
  <c r="J77" i="1"/>
  <c r="J17" i="1"/>
  <c r="J136" i="1"/>
  <c r="J106" i="1"/>
  <c r="J76" i="1"/>
  <c r="J46" i="1"/>
  <c r="J16" i="1"/>
  <c r="J135" i="1"/>
  <c r="J105" i="1"/>
  <c r="J75" i="1"/>
  <c r="J134" i="1"/>
  <c r="J104" i="1"/>
  <c r="J74" i="1"/>
  <c r="J14" i="1"/>
  <c r="J133" i="1"/>
  <c r="J73" i="1"/>
  <c r="J13" i="1"/>
  <c r="J132" i="1"/>
  <c r="J102" i="1"/>
  <c r="J72" i="1"/>
  <c r="J42" i="1"/>
  <c r="J12" i="1"/>
  <c r="J131" i="1"/>
  <c r="J101" i="1"/>
  <c r="J71" i="1"/>
  <c r="J11" i="1"/>
  <c r="J130" i="1"/>
  <c r="J70" i="1"/>
  <c r="J10" i="1"/>
  <c r="J129" i="1"/>
  <c r="J99" i="1"/>
  <c r="J69" i="1"/>
  <c r="J9" i="1"/>
  <c r="J128" i="1"/>
  <c r="J98" i="1"/>
  <c r="J68" i="1"/>
  <c r="J8" i="1"/>
  <c r="J127" i="1"/>
  <c r="J97" i="1"/>
  <c r="J67" i="1"/>
  <c r="J7" i="1"/>
  <c r="J126" i="1"/>
  <c r="J96" i="1"/>
  <c r="J66" i="1"/>
  <c r="J6" i="1"/>
  <c r="J125" i="1"/>
  <c r="J95" i="1"/>
  <c r="J65" i="1"/>
  <c r="J5" i="1"/>
  <c r="J124" i="1"/>
  <c r="J94" i="1"/>
  <c r="J64" i="1"/>
  <c r="J4" i="1"/>
  <c r="J153" i="2"/>
  <c r="J123" i="2"/>
  <c r="J93" i="2"/>
  <c r="J63" i="2"/>
  <c r="J33" i="2"/>
  <c r="J152" i="2"/>
  <c r="J122" i="2"/>
  <c r="J92" i="2"/>
  <c r="J62" i="2"/>
  <c r="J32" i="2"/>
  <c r="J151" i="2"/>
  <c r="J121" i="2"/>
  <c r="J91" i="2"/>
  <c r="J61" i="2"/>
  <c r="J31" i="2"/>
  <c r="J150" i="2"/>
  <c r="J120" i="2"/>
  <c r="J90" i="2"/>
  <c r="J60" i="2"/>
  <c r="J30" i="2"/>
  <c r="J149" i="2"/>
  <c r="J119" i="2"/>
  <c r="J89" i="2"/>
  <c r="J59" i="2"/>
  <c r="J29" i="2"/>
  <c r="J148" i="2"/>
  <c r="J88" i="2"/>
  <c r="J58" i="2"/>
  <c r="J28" i="2"/>
  <c r="J147" i="2"/>
  <c r="J117" i="2"/>
  <c r="J87" i="2"/>
  <c r="J27" i="2"/>
  <c r="J146" i="2"/>
  <c r="J86" i="2"/>
  <c r="J26" i="2"/>
  <c r="J145" i="2"/>
  <c r="J85" i="2"/>
  <c r="J25" i="2"/>
  <c r="J144" i="2"/>
  <c r="J84" i="2"/>
  <c r="J24" i="2"/>
  <c r="J143" i="2"/>
  <c r="J83" i="2"/>
  <c r="J142" i="2"/>
  <c r="J112" i="2"/>
  <c r="J82" i="2"/>
  <c r="J22" i="2"/>
  <c r="J141" i="2"/>
  <c r="J81" i="2"/>
  <c r="J21" i="2"/>
  <c r="J140" i="2"/>
  <c r="J110" i="2"/>
  <c r="J80" i="2"/>
  <c r="J50" i="2"/>
  <c r="J20" i="2"/>
  <c r="J139" i="2"/>
  <c r="J79" i="2"/>
  <c r="J19" i="2"/>
  <c r="J138" i="2"/>
  <c r="J108" i="2"/>
  <c r="J78" i="2"/>
  <c r="J48" i="2"/>
  <c r="J18" i="2"/>
  <c r="J137" i="2"/>
  <c r="J107" i="2"/>
  <c r="J77" i="2"/>
  <c r="J47" i="2"/>
  <c r="J17" i="2"/>
  <c r="J136" i="2"/>
  <c r="J76" i="2"/>
  <c r="J46" i="2"/>
  <c r="J16" i="2"/>
  <c r="J135" i="2"/>
  <c r="J75" i="2"/>
  <c r="J15" i="2"/>
  <c r="J134" i="2"/>
  <c r="J104" i="2"/>
  <c r="J74" i="2"/>
  <c r="J14" i="2"/>
  <c r="J133" i="2"/>
  <c r="J103" i="2"/>
  <c r="J73" i="2"/>
  <c r="J43" i="2"/>
  <c r="J13" i="2"/>
  <c r="J132" i="2"/>
  <c r="J102" i="2"/>
  <c r="J72" i="2"/>
  <c r="J131" i="2"/>
  <c r="J101" i="2"/>
  <c r="J71" i="2"/>
  <c r="J130" i="2"/>
  <c r="J100" i="2"/>
  <c r="J70" i="2"/>
  <c r="J129" i="2"/>
  <c r="J99" i="2"/>
  <c r="J69" i="2"/>
  <c r="J128" i="2"/>
  <c r="J98" i="2"/>
  <c r="J68" i="2"/>
  <c r="J127" i="2"/>
  <c r="J97" i="2"/>
  <c r="J67" i="2"/>
  <c r="J37" i="2"/>
  <c r="J126" i="2"/>
  <c r="J96" i="2"/>
  <c r="J66" i="2"/>
  <c r="J125" i="2"/>
  <c r="J65" i="2"/>
  <c r="J124" i="2"/>
  <c r="J94" i="2"/>
  <c r="J64" i="2"/>
  <c r="I26" i="2"/>
  <c r="I23" i="2"/>
  <c r="I22" i="2"/>
  <c r="I18" i="2"/>
  <c r="I17" i="2"/>
  <c r="I16" i="2"/>
  <c r="I15" i="2"/>
  <c r="I14" i="2"/>
  <c r="R12" i="2" s="1"/>
  <c r="I8" i="2"/>
  <c r="I33" i="2"/>
  <c r="I32" i="2"/>
  <c r="I31" i="2"/>
  <c r="I30" i="2"/>
  <c r="I20" i="3"/>
  <c r="I19" i="3"/>
  <c r="I18" i="3"/>
  <c r="I17" i="3"/>
  <c r="I15" i="3"/>
  <c r="I12" i="3"/>
  <c r="I11" i="3"/>
  <c r="I8" i="3"/>
  <c r="I7" i="3"/>
  <c r="I6" i="3"/>
  <c r="I5" i="3"/>
  <c r="I4" i="3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6" i="1"/>
  <c r="I11" i="1"/>
  <c r="I10" i="1"/>
  <c r="I9" i="1"/>
  <c r="I8" i="1"/>
  <c r="I7" i="1"/>
  <c r="I4" i="1"/>
  <c r="S9" i="1"/>
  <c r="S11" i="1"/>
  <c r="T9" i="1"/>
  <c r="H14" i="1"/>
  <c r="U11" i="1" s="1"/>
  <c r="U12" i="1"/>
  <c r="S13" i="1"/>
  <c r="T13" i="1"/>
  <c r="U13" i="1"/>
  <c r="S12" i="1"/>
  <c r="T12" i="1"/>
  <c r="T11" i="1"/>
  <c r="S10" i="1"/>
  <c r="T10" i="1"/>
  <c r="U10" i="1"/>
  <c r="U9" i="1"/>
  <c r="S8" i="1"/>
  <c r="T8" i="1"/>
  <c r="R11" i="1"/>
  <c r="R12" i="1"/>
  <c r="R8" i="1"/>
  <c r="R9" i="1"/>
  <c r="R10" i="1"/>
  <c r="R13" i="1"/>
  <c r="O13" i="2"/>
  <c r="O11" i="2"/>
  <c r="O10" i="2"/>
  <c r="N14" i="2"/>
  <c r="O8" i="3"/>
  <c r="M12" i="3"/>
  <c r="E4" i="3"/>
  <c r="G28" i="3"/>
  <c r="F28" i="3"/>
  <c r="E28" i="3"/>
  <c r="H27" i="3"/>
  <c r="G27" i="3"/>
  <c r="F27" i="3"/>
  <c r="N8" i="3" s="1"/>
  <c r="E27" i="3"/>
  <c r="G26" i="3"/>
  <c r="F26" i="3"/>
  <c r="E26" i="3"/>
  <c r="H25" i="3"/>
  <c r="P8" i="3" s="1"/>
  <c r="G25" i="3"/>
  <c r="F25" i="3"/>
  <c r="E25" i="3"/>
  <c r="G24" i="3"/>
  <c r="F24" i="3"/>
  <c r="E24" i="3"/>
  <c r="M8" i="3" s="1"/>
  <c r="H23" i="3"/>
  <c r="G23" i="3"/>
  <c r="E23" i="3"/>
  <c r="H22" i="3"/>
  <c r="G22" i="3"/>
  <c r="F22" i="3"/>
  <c r="E22" i="3"/>
  <c r="H21" i="3"/>
  <c r="G21" i="3"/>
  <c r="F21" i="3"/>
  <c r="E21" i="3"/>
  <c r="H20" i="3"/>
  <c r="G20" i="3"/>
  <c r="F20" i="3"/>
  <c r="E20" i="3"/>
  <c r="H19" i="3"/>
  <c r="P9" i="3" s="1"/>
  <c r="G19" i="3"/>
  <c r="O9" i="3" s="1"/>
  <c r="F19" i="3"/>
  <c r="N9" i="3" s="1"/>
  <c r="E19" i="3"/>
  <c r="M9" i="3" s="1"/>
  <c r="H18" i="3"/>
  <c r="G18" i="3"/>
  <c r="F18" i="3"/>
  <c r="E18" i="3"/>
  <c r="H17" i="3"/>
  <c r="G17" i="3"/>
  <c r="E17" i="3"/>
  <c r="H16" i="3"/>
  <c r="G16" i="3"/>
  <c r="E16" i="3"/>
  <c r="H15" i="3"/>
  <c r="G15" i="3"/>
  <c r="F15" i="3"/>
  <c r="N10" i="3" s="1"/>
  <c r="E15" i="3"/>
  <c r="H14" i="3"/>
  <c r="P10" i="3" s="1"/>
  <c r="G14" i="3"/>
  <c r="O10" i="3" s="1"/>
  <c r="E14" i="3"/>
  <c r="M10" i="3" s="1"/>
  <c r="H13" i="3"/>
  <c r="G13" i="3"/>
  <c r="E13" i="3"/>
  <c r="H12" i="3"/>
  <c r="G12" i="3"/>
  <c r="F12" i="3"/>
  <c r="E12" i="3"/>
  <c r="H11" i="3"/>
  <c r="G11" i="3"/>
  <c r="F11" i="3"/>
  <c r="E11" i="3"/>
  <c r="H10" i="3"/>
  <c r="P11" i="3" s="1"/>
  <c r="G10" i="3"/>
  <c r="F10" i="3"/>
  <c r="E10" i="3"/>
  <c r="G9" i="3"/>
  <c r="O11" i="3" s="1"/>
  <c r="F9" i="3"/>
  <c r="N11" i="3" s="1"/>
  <c r="E9" i="3"/>
  <c r="M11" i="3" s="1"/>
  <c r="H8" i="3"/>
  <c r="G8" i="3"/>
  <c r="F8" i="3"/>
  <c r="E8" i="3"/>
  <c r="H7" i="3"/>
  <c r="G7" i="3"/>
  <c r="E7" i="3"/>
  <c r="H6" i="3"/>
  <c r="G6" i="3"/>
  <c r="E6" i="3"/>
  <c r="H5" i="3"/>
  <c r="G5" i="3"/>
  <c r="E5" i="3"/>
  <c r="H4" i="3"/>
  <c r="P12" i="3" s="1"/>
  <c r="G4" i="3"/>
  <c r="O12" i="3" s="1"/>
  <c r="F4" i="3"/>
  <c r="N12" i="3" s="1"/>
  <c r="H4" i="2"/>
  <c r="Q14" i="2" s="1"/>
  <c r="H11" i="2"/>
  <c r="G28" i="2"/>
  <c r="F28" i="2"/>
  <c r="E28" i="2"/>
  <c r="H27" i="2"/>
  <c r="Q10" i="2" s="1"/>
  <c r="G27" i="2"/>
  <c r="E27" i="2"/>
  <c r="G26" i="2"/>
  <c r="E26" i="2"/>
  <c r="N10" i="2" s="1"/>
  <c r="G25" i="2"/>
  <c r="E25" i="2"/>
  <c r="G24" i="2"/>
  <c r="P10" i="2" s="1"/>
  <c r="E24" i="2"/>
  <c r="G23" i="2"/>
  <c r="H22" i="2"/>
  <c r="Q11" i="2" s="1"/>
  <c r="G22" i="2"/>
  <c r="E22" i="2"/>
  <c r="G21" i="2"/>
  <c r="E21" i="2"/>
  <c r="H20" i="2"/>
  <c r="G20" i="2"/>
  <c r="F20" i="2"/>
  <c r="E20" i="2"/>
  <c r="G19" i="2"/>
  <c r="P11" i="2" s="1"/>
  <c r="E19" i="2"/>
  <c r="N11" i="2" s="1"/>
  <c r="H18" i="2"/>
  <c r="G18" i="2"/>
  <c r="F18" i="2"/>
  <c r="E18" i="2"/>
  <c r="H17" i="2"/>
  <c r="G17" i="2"/>
  <c r="F17" i="2"/>
  <c r="E17" i="2"/>
  <c r="G16" i="2"/>
  <c r="F16" i="2"/>
  <c r="O12" i="2" s="1"/>
  <c r="E16" i="2"/>
  <c r="G15" i="2"/>
  <c r="E15" i="2"/>
  <c r="H14" i="2"/>
  <c r="Q12" i="2" s="1"/>
  <c r="G14" i="2"/>
  <c r="P12" i="2" s="1"/>
  <c r="E14" i="2"/>
  <c r="N12" i="2" s="1"/>
  <c r="H13" i="2"/>
  <c r="G13" i="2"/>
  <c r="F13" i="2"/>
  <c r="E13" i="2"/>
  <c r="N13" i="2" s="1"/>
  <c r="H12" i="2"/>
  <c r="G12" i="2"/>
  <c r="G11" i="2"/>
  <c r="H10" i="2"/>
  <c r="G10" i="2"/>
  <c r="H9" i="2"/>
  <c r="Q13" i="2" s="1"/>
  <c r="G9" i="2"/>
  <c r="P13" i="2" s="1"/>
  <c r="H8" i="2"/>
  <c r="G8" i="2"/>
  <c r="H7" i="2"/>
  <c r="G7" i="2"/>
  <c r="F7" i="2"/>
  <c r="O14" i="2" s="1"/>
  <c r="H6" i="2"/>
  <c r="G6" i="2"/>
  <c r="G5" i="2"/>
  <c r="G4" i="2"/>
  <c r="P14" i="2" s="1"/>
  <c r="G28" i="1"/>
  <c r="H27" i="1"/>
  <c r="H26" i="1"/>
  <c r="G26" i="1"/>
  <c r="G25" i="1"/>
  <c r="H24" i="1"/>
  <c r="G24" i="1"/>
  <c r="H23" i="1"/>
  <c r="G23" i="1"/>
  <c r="H22" i="1"/>
  <c r="G22" i="1"/>
  <c r="H21" i="1"/>
  <c r="G21" i="1"/>
  <c r="G20" i="1"/>
  <c r="H19" i="1"/>
  <c r="G19" i="1"/>
  <c r="H18" i="1"/>
  <c r="G18" i="1"/>
  <c r="H17" i="1"/>
  <c r="G17" i="1"/>
  <c r="H16" i="1"/>
  <c r="G16" i="1"/>
  <c r="H15" i="1"/>
  <c r="G15" i="1"/>
  <c r="G14" i="1"/>
  <c r="G13" i="1"/>
  <c r="H12" i="1"/>
  <c r="G12" i="1"/>
  <c r="H11" i="1"/>
  <c r="G11" i="1"/>
  <c r="G10" i="1"/>
  <c r="H9" i="1"/>
  <c r="G9" i="1"/>
  <c r="H8" i="1"/>
  <c r="G8" i="1"/>
  <c r="H7" i="1"/>
  <c r="G7" i="1"/>
  <c r="H6" i="1"/>
  <c r="G6" i="1"/>
  <c r="H5" i="1"/>
  <c r="G5" i="1"/>
  <c r="H4" i="1"/>
  <c r="G4" i="1"/>
  <c r="F24" i="1"/>
  <c r="F23" i="1"/>
  <c r="F22" i="1"/>
  <c r="F20" i="1"/>
  <c r="F19" i="1"/>
  <c r="F18" i="1"/>
  <c r="F16" i="1"/>
  <c r="F12" i="1"/>
  <c r="H33" i="3"/>
  <c r="G33" i="3"/>
  <c r="F33" i="3"/>
  <c r="E33" i="3"/>
  <c r="H32" i="3"/>
  <c r="G32" i="3"/>
  <c r="F32" i="3"/>
  <c r="E32" i="3"/>
  <c r="H31" i="3"/>
  <c r="G31" i="3"/>
  <c r="F31" i="3"/>
  <c r="E31" i="3"/>
  <c r="H30" i="3"/>
  <c r="G30" i="3"/>
  <c r="F30" i="3"/>
  <c r="E30" i="3"/>
  <c r="H29" i="3"/>
  <c r="P7" i="3" s="1"/>
  <c r="G29" i="3"/>
  <c r="O7" i="3" s="1"/>
  <c r="F29" i="3"/>
  <c r="N7" i="3" s="1"/>
  <c r="E29" i="3"/>
  <c r="M7" i="3" s="1"/>
  <c r="H33" i="2"/>
  <c r="G33" i="2"/>
  <c r="F33" i="2"/>
  <c r="E33" i="2"/>
  <c r="H32" i="2"/>
  <c r="G32" i="2"/>
  <c r="F32" i="2"/>
  <c r="E32" i="2"/>
  <c r="H31" i="2"/>
  <c r="G31" i="2"/>
  <c r="F31" i="2"/>
  <c r="E31" i="2"/>
  <c r="H30" i="2"/>
  <c r="Q9" i="2" s="1"/>
  <c r="G30" i="2"/>
  <c r="F30" i="2"/>
  <c r="E30" i="2"/>
  <c r="H29" i="2"/>
  <c r="G29" i="2"/>
  <c r="P9" i="2" s="1"/>
  <c r="F29" i="2"/>
  <c r="O9" i="2" s="1"/>
  <c r="E29" i="2"/>
  <c r="N9" i="2" s="1"/>
  <c r="H33" i="1"/>
  <c r="H32" i="1"/>
  <c r="H31" i="1"/>
  <c r="H30" i="1"/>
  <c r="H29" i="1"/>
  <c r="G33" i="1"/>
  <c r="G32" i="1"/>
  <c r="G31" i="1"/>
  <c r="G30" i="1"/>
  <c r="G29" i="1"/>
  <c r="F33" i="1"/>
  <c r="F32" i="1"/>
  <c r="F31" i="1"/>
  <c r="F30" i="1"/>
  <c r="F29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4" i="1"/>
  <c r="E13" i="1"/>
  <c r="E12" i="1"/>
  <c r="E11" i="1"/>
  <c r="E10" i="1"/>
  <c r="E9" i="1"/>
  <c r="E8" i="1"/>
  <c r="E7" i="1"/>
  <c r="E6" i="1"/>
  <c r="E5" i="1"/>
  <c r="E4" i="1"/>
  <c r="R11" i="2" l="1"/>
  <c r="R9" i="2"/>
</calcChain>
</file>

<file path=xl/sharedStrings.xml><?xml version="1.0" encoding="utf-8"?>
<sst xmlns="http://schemas.openxmlformats.org/spreadsheetml/2006/main" count="162" uniqueCount="32">
  <si>
    <t xml:space="preserve"> </t>
  </si>
  <si>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</si>
  <si>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</si>
  <si>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</si>
  <si>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</si>
  <si>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</si>
  <si>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</si>
  <si>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</si>
  <si>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</si>
  <si>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</si>
  <si>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</si>
  <si>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</si>
  <si>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</si>
  <si>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DOSES</t>
  </si>
  <si>
    <t>E</t>
  </si>
  <si>
    <t>0 DAA</t>
  </si>
  <si>
    <t>10 DAA</t>
  </si>
  <si>
    <t>20 DAA</t>
  </si>
  <si>
    <t>40 DAA</t>
  </si>
  <si>
    <t>60 DAA</t>
  </si>
  <si>
    <t>1D</t>
  </si>
  <si>
    <t>1/2D</t>
  </si>
  <si>
    <t>1/4D</t>
  </si>
  <si>
    <t>1/8D</t>
  </si>
  <si>
    <t>TESTEMUNHA</t>
  </si>
  <si>
    <t>área foliar</t>
  </si>
  <si>
    <t>INDAZ</t>
  </si>
  <si>
    <t>SULF</t>
  </si>
  <si>
    <t>ANOVA</t>
  </si>
  <si>
    <t>Interação não significativa</t>
  </si>
  <si>
    <t>média por dose</t>
  </si>
  <si>
    <t>média por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</si>
</sst>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3" fontId="2" fillId="0" borderId="0" xfId="0" applyNumberFormat="1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8419-87BA-4D17-A146-DFB562EDF231}">
  <dimension ref="A1:W153"/>
  <sheetViews>
    <sheetView topLeftCell="J4" workbookViewId="0">
      <selection activeCell="Q7" sqref="Q7:W19"/>
    </sheetView>
  </sheetViews>
  <sheetFormatPr defaultRowHeight="15" x14ac:dyDescent="0.25"/>
  <cols>
    <col min="1" max="1" width="13.5703125" bestFit="1" customWidth="1"/>
    <col min="3" max="3" width="28.42578125" bestFit="1" customWidth="1"/>
    <col min="5" max="9" width="10.7109375" bestFit="1" customWidth="1"/>
    <col min="17" max="17" width="17.7109375" bestFit="1" customWidth="1"/>
    <col min="23" max="23" width="14.85546875" bestFit="1" customWidth="1"/>
  </cols>
  <sheetData>
    <row r="1" spans="1:23" x14ac:dyDescent="0.25">
      <c r="A1" s="1" t="s">
        <v>25</v>
      </c>
      <c r="B1" s="1" t="s">
        <v>1</v>
      </c>
      <c r="C1" s="1" t="s">
        <v>2</v>
      </c>
      <c r="H1" t="s">
        <v>0</v>
      </c>
    </row>
    <row r="2" spans="1:23" x14ac:dyDescent="0.25">
      <c r="B2">
        <v>2</v>
      </c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23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28</v>
      </c>
    </row>
    <row r="4" spans="1:23" x14ac:dyDescent="0.25">
      <c r="C4" t="s">
        <v>8</v>
      </c>
      <c r="D4" t="s">
        <v>9</v>
      </c>
      <c r="E4">
        <f>(3.21+3.04)/2</f>
        <v>3.125</v>
      </c>
      <c r="F4">
        <v>2.8959999999999999</v>
      </c>
      <c r="G4">
        <f>(3.51+2.1)/2</f>
        <v>2.8049999999999997</v>
      </c>
      <c r="H4">
        <f>(3.26+5.14)/2</f>
        <v>4.1999999999999993</v>
      </c>
      <c r="I4">
        <f>(5.16+   3.9)/2</f>
        <v>4.53</v>
      </c>
      <c r="J4">
        <f>(3.21+3.04)/2</f>
        <v>3.125</v>
      </c>
    </row>
    <row r="5" spans="1:23" x14ac:dyDescent="0.25">
      <c r="D5" t="s">
        <v>10</v>
      </c>
      <c r="E5">
        <f>(3.68+3.04)/2</f>
        <v>3.3600000000000003</v>
      </c>
      <c r="F5">
        <v>3.0579999999999998</v>
      </c>
      <c r="G5">
        <f>(2.32+2.32)/2</f>
        <v>2.3199999999999998</v>
      </c>
      <c r="H5">
        <f>(5.21+5.12)/2</f>
        <v>5.165</v>
      </c>
      <c r="I5">
        <f>(5.4+   4.86)/2</f>
        <v>5.1300000000000008</v>
      </c>
      <c r="J5">
        <f>(3.68+3.04)/2</f>
        <v>3.3600000000000003</v>
      </c>
      <c r="L5" t="s">
        <v>29</v>
      </c>
    </row>
    <row r="6" spans="1:23" x14ac:dyDescent="0.25">
      <c r="D6" t="s">
        <v>11</v>
      </c>
      <c r="E6">
        <f>(2.31+2.77)/2</f>
        <v>2.54</v>
      </c>
      <c r="F6">
        <v>2.8820000000000001</v>
      </c>
      <c r="G6">
        <f>(3.79+3.58)/2</f>
        <v>3.6850000000000001</v>
      </c>
      <c r="H6">
        <f>(3.82+6.2)/2</f>
        <v>5.01</v>
      </c>
      <c r="I6">
        <f>(4.83+   4.37)/2</f>
        <v>4.5999999999999996</v>
      </c>
      <c r="J6">
        <f>(2.31+2.77)/2</f>
        <v>2.54</v>
      </c>
    </row>
    <row r="7" spans="1:23" x14ac:dyDescent="0.25">
      <c r="D7" t="s">
        <v>12</v>
      </c>
      <c r="E7">
        <f>(2.91+3.22)/2</f>
        <v>3.0650000000000004</v>
      </c>
      <c r="F7">
        <v>3.0939999999999999</v>
      </c>
      <c r="G7">
        <f>(4.04+3.48)/2</f>
        <v>3.76</v>
      </c>
      <c r="H7">
        <f>(5.81+6.88)/2</f>
        <v>6.3449999999999998</v>
      </c>
      <c r="I7">
        <f>(7.25+   7.28)/2</f>
        <v>7.2650000000000006</v>
      </c>
      <c r="J7">
        <f>(2.91+3.22)/2</f>
        <v>3.0650000000000004</v>
      </c>
      <c r="Q7" t="s">
        <v>13</v>
      </c>
      <c r="R7" t="s">
        <v>15</v>
      </c>
      <c r="S7" t="s">
        <v>16</v>
      </c>
      <c r="T7" t="s">
        <v>17</v>
      </c>
      <c r="U7" t="s">
        <v>18</v>
      </c>
      <c r="V7" t="s">
        <v>19</v>
      </c>
      <c r="W7" s="6" t="s">
        <v>30</v>
      </c>
    </row>
    <row r="8" spans="1:23" x14ac:dyDescent="0.25">
      <c r="D8" t="s">
        <v>14</v>
      </c>
      <c r="E8">
        <f>(3.48+1.39)/2</f>
        <v>2.4350000000000001</v>
      </c>
      <c r="F8">
        <v>3.5750000000000002</v>
      </c>
      <c r="G8">
        <f>(3.57+2.93)/2</f>
        <v>3.25</v>
      </c>
      <c r="H8">
        <f>(6.96+5.54)/2</f>
        <v>6.25</v>
      </c>
      <c r="I8">
        <f>(6.17+   6.13)/2</f>
        <v>6.15</v>
      </c>
      <c r="J8">
        <f>(3.48+1.39)/2</f>
        <v>2.4350000000000001</v>
      </c>
      <c r="Q8">
        <v>0</v>
      </c>
      <c r="R8">
        <f>AVERAGE(E29:E33)</f>
        <v>7.1259999999999994</v>
      </c>
      <c r="S8">
        <f>AVERAGE(F29:F33)</f>
        <v>7.1259999999999994</v>
      </c>
      <c r="T8">
        <f>AVERAGE(G29:G33)</f>
        <v>7.1259999999999994</v>
      </c>
      <c r="U8">
        <f>AVERAGE(H29:H33)</f>
        <v>7.1259999999999994</v>
      </c>
      <c r="V8">
        <f>AVERAGE(I29:I33)</f>
        <v>7.1259999999999994</v>
      </c>
      <c r="W8" s="6">
        <f>AVERAGE(R8:V8)</f>
        <v>7.1259999999999994</v>
      </c>
    </row>
    <row r="9" spans="1:23" x14ac:dyDescent="0.25">
      <c r="C9" t="s">
        <v>20</v>
      </c>
      <c r="D9" t="s">
        <v>9</v>
      </c>
      <c r="E9">
        <f>(3.83+3.31)/2</f>
        <v>3.5700000000000003</v>
      </c>
      <c r="F9">
        <v>4.6100000000000003</v>
      </c>
      <c r="G9">
        <f>(4.04+3.82)/2</f>
        <v>3.9299999999999997</v>
      </c>
      <c r="H9">
        <f>(3.68+7.35)/2</f>
        <v>5.5149999999999997</v>
      </c>
      <c r="I9">
        <f>(6.32+    6.89)/2</f>
        <v>6.6050000000000004</v>
      </c>
      <c r="J9">
        <f>(3.83+3.31)/2</f>
        <v>3.5700000000000003</v>
      </c>
      <c r="Q9">
        <v>157.5</v>
      </c>
      <c r="R9">
        <f>AVERAGE(E24:E28)</f>
        <v>3.5070000000000001</v>
      </c>
      <c r="S9">
        <f>AVERAGE(F24:F28)</f>
        <v>4.5914000000000001</v>
      </c>
      <c r="T9">
        <f>AVERAGE(G24:G28)</f>
        <v>5.4960000000000004</v>
      </c>
      <c r="U9">
        <f>AVERAGE(H24:H28)</f>
        <v>6.0549999999999997</v>
      </c>
      <c r="V9">
        <f>AVERAGE(I24:I28)</f>
        <v>6.2189999999999994</v>
      </c>
      <c r="W9" s="6">
        <f t="shared" ref="W9:W13" si="0">AVERAGE(R9:V9)</f>
        <v>5.1736800000000001</v>
      </c>
    </row>
    <row r="10" spans="1:23" x14ac:dyDescent="0.25">
      <c r="D10" t="s">
        <v>10</v>
      </c>
      <c r="E10">
        <f>(2.08+2.98)/2</f>
        <v>2.5300000000000002</v>
      </c>
      <c r="F10">
        <v>3.6520000000000001</v>
      </c>
      <c r="G10">
        <f>(4.58+4.05)/2</f>
        <v>4.3149999999999995</v>
      </c>
      <c r="H10">
        <v>5.6950000000000003</v>
      </c>
      <c r="I10">
        <f>(6.56+   6.46)/2</f>
        <v>6.51</v>
      </c>
      <c r="J10">
        <f>(2.08+2.98)/2</f>
        <v>2.5300000000000002</v>
      </c>
      <c r="Q10">
        <v>315</v>
      </c>
      <c r="R10">
        <f>AVERAGE(E19:E23)</f>
        <v>3.4269999999999996</v>
      </c>
      <c r="S10">
        <f>AVERAGE(F19:F23)</f>
        <v>4.3469999999999995</v>
      </c>
      <c r="T10">
        <f>AVERAGE(G19:G23)</f>
        <v>5.0250000000000004</v>
      </c>
      <c r="U10">
        <f>AVERAGE(H19:H23)</f>
        <v>5.8182</v>
      </c>
      <c r="V10">
        <f>AVERAGE(I19:I23)</f>
        <v>6.2409999999999997</v>
      </c>
      <c r="W10" s="6">
        <f t="shared" si="0"/>
        <v>4.9716399999999998</v>
      </c>
    </row>
    <row r="11" spans="1:23" x14ac:dyDescent="0.25">
      <c r="D11" t="s">
        <v>11</v>
      </c>
      <c r="E11">
        <f>(2.4+2.44)/2</f>
        <v>2.42</v>
      </c>
      <c r="F11" s="4">
        <v>3.73</v>
      </c>
      <c r="G11">
        <f>(3.14+3.24)/2</f>
        <v>3.1900000000000004</v>
      </c>
      <c r="H11">
        <f>(6.14+5.38)/2</f>
        <v>5.76</v>
      </c>
      <c r="I11">
        <f>(7+     4.97)/2</f>
        <v>5.9849999999999994</v>
      </c>
      <c r="J11">
        <f>(2.4+2.44)/2</f>
        <v>2.42</v>
      </c>
      <c r="Q11">
        <v>630</v>
      </c>
      <c r="R11">
        <f>AVERAGE(E14:E18)</f>
        <v>3.1940000000000004</v>
      </c>
      <c r="S11">
        <f>AVERAGE(F14:F18)</f>
        <v>3.9596000000000005</v>
      </c>
      <c r="T11">
        <f>AVERAGE(G14:G18)</f>
        <v>4.8729999999999993</v>
      </c>
      <c r="U11">
        <f>AVERAGE(H14:H18)</f>
        <v>5.8140000000000001</v>
      </c>
      <c r="V11">
        <f>AVERAGE(I14:I18)</f>
        <v>5.8949999999999996</v>
      </c>
      <c r="W11" s="6">
        <f t="shared" si="0"/>
        <v>4.7471200000000007</v>
      </c>
    </row>
    <row r="12" spans="1:23" x14ac:dyDescent="0.25">
      <c r="D12" t="s">
        <v>12</v>
      </c>
      <c r="E12">
        <f>(3.3+2.87)/2</f>
        <v>3.085</v>
      </c>
      <c r="F12">
        <f>(4.22+3.33)/2</f>
        <v>3.7749999999999999</v>
      </c>
      <c r="G12">
        <f>(3.38+3.88)/2</f>
        <v>3.63</v>
      </c>
      <c r="H12">
        <f>(6.33+5.28)/2</f>
        <v>5.8049999999999997</v>
      </c>
      <c r="I12">
        <f>(5.43+  4.51)/2</f>
        <v>4.97</v>
      </c>
      <c r="J12">
        <f>(3.3+2.87)/2</f>
        <v>3.085</v>
      </c>
      <c r="Q12">
        <v>1260</v>
      </c>
      <c r="R12">
        <f>AVERAGE(E9:E13)</f>
        <v>3</v>
      </c>
      <c r="S12">
        <f>AVERAGE(F9:F13)</f>
        <v>3.6446000000000005</v>
      </c>
      <c r="T12">
        <f>AVERAGE(G9:G13)</f>
        <v>3.8019999999999996</v>
      </c>
      <c r="U12">
        <f>AVERAGE(H9:H13)</f>
        <v>5.4049999999999994</v>
      </c>
      <c r="V12">
        <f>AVERAGE(I9:I13)</f>
        <v>5.891</v>
      </c>
      <c r="W12" s="6">
        <f t="shared" si="0"/>
        <v>4.3485199999999997</v>
      </c>
    </row>
    <row r="13" spans="1:23" x14ac:dyDescent="0.25">
      <c r="D13" t="s">
        <v>14</v>
      </c>
      <c r="E13">
        <f>(3.77+3.02)/2</f>
        <v>3.395</v>
      </c>
      <c r="F13" s="4">
        <v>2.456</v>
      </c>
      <c r="G13">
        <f>(4.01+3.88)/2</f>
        <v>3.9449999999999998</v>
      </c>
      <c r="H13">
        <v>4.25</v>
      </c>
      <c r="I13">
        <f>(4.79+ 5.98)/2</f>
        <v>5.3849999999999998</v>
      </c>
      <c r="J13">
        <f>(3.77+3.02)/2</f>
        <v>3.395</v>
      </c>
      <c r="Q13">
        <v>2520</v>
      </c>
      <c r="R13">
        <f>AVERAGE(E4:E8)</f>
        <v>2.9050000000000002</v>
      </c>
      <c r="S13">
        <f>AVERAGE(F4:F8)</f>
        <v>3.101</v>
      </c>
      <c r="T13">
        <f>AVERAGE(G4:G8)</f>
        <v>3.1640000000000001</v>
      </c>
      <c r="U13">
        <f>AVERAGE(H4:H8)</f>
        <v>5.3940000000000001</v>
      </c>
      <c r="V13">
        <f>AVERAGE(I4:I8)</f>
        <v>5.5349999999999993</v>
      </c>
      <c r="W13" s="6">
        <f t="shared" si="0"/>
        <v>4.0198</v>
      </c>
    </row>
    <row r="14" spans="1:23" x14ac:dyDescent="0.25">
      <c r="C14" t="s">
        <v>21</v>
      </c>
      <c r="D14" t="s">
        <v>9</v>
      </c>
      <c r="E14">
        <f>(3.94+1.64)/2</f>
        <v>2.79</v>
      </c>
      <c r="F14" s="4">
        <v>3.19</v>
      </c>
      <c r="G14">
        <f>(5.15+4.1)/2</f>
        <v>4.625</v>
      </c>
      <c r="H14">
        <f>(3.59+3.04)/2</f>
        <v>3.3149999999999999</v>
      </c>
      <c r="I14">
        <f>(5.91+  4.93)/2</f>
        <v>5.42</v>
      </c>
      <c r="J14">
        <f>(3.94+1.64)/2</f>
        <v>2.79</v>
      </c>
      <c r="Q14" t="s">
        <v>31</v>
      </c>
      <c r="R14">
        <f>AVERAGE(R8:R13)</f>
        <v>3.859833333333333</v>
      </c>
      <c r="S14">
        <f>AVERAGE(S8:S13)</f>
        <v>4.4615999999999998</v>
      </c>
      <c r="T14">
        <f>AVERAGE(T8:T13)</f>
        <v>4.9143333333333326</v>
      </c>
      <c r="U14">
        <f>AVERAGE(U8:U13)</f>
        <v>5.935366666666666</v>
      </c>
      <c r="V14">
        <f>AVERAGE(V8:V13)</f>
        <v>6.1511666666666658</v>
      </c>
    </row>
    <row r="15" spans="1:23" x14ac:dyDescent="0.25">
      <c r="D15" t="s">
        <v>10</v>
      </c>
      <c r="E15">
        <v>3.24</v>
      </c>
      <c r="F15">
        <v>4.3360000000000003</v>
      </c>
      <c r="G15">
        <f>(5.13+5.92)/2</f>
        <v>5.5250000000000004</v>
      </c>
      <c r="H15">
        <f>(6.53+5.62)/2</f>
        <v>6.0750000000000002</v>
      </c>
      <c r="I15">
        <f>(5.61+  7.6)/2</f>
        <v>6.6050000000000004</v>
      </c>
      <c r="J15">
        <v>3.24</v>
      </c>
      <c r="R15" t="s">
        <v>15</v>
      </c>
      <c r="S15">
        <v>3.859833333333333</v>
      </c>
    </row>
    <row r="16" spans="1:23" x14ac:dyDescent="0.25">
      <c r="D16" t="s">
        <v>11</v>
      </c>
      <c r="E16">
        <f>(2.77+2.48)/2</f>
        <v>2.625</v>
      </c>
      <c r="F16">
        <f>(4.02+3.33)/2</f>
        <v>3.6749999999999998</v>
      </c>
      <c r="G16">
        <f>(5.63+4.52)/2</f>
        <v>5.0749999999999993</v>
      </c>
      <c r="H16">
        <f>(3.81+6.44)/2</f>
        <v>5.125</v>
      </c>
      <c r="I16">
        <f>(4.89+  5.36)/2</f>
        <v>5.125</v>
      </c>
      <c r="J16">
        <f>(2.77+2.48)/2</f>
        <v>2.625</v>
      </c>
      <c r="R16" t="s">
        <v>16</v>
      </c>
      <c r="S16">
        <v>4.4615999999999998</v>
      </c>
    </row>
    <row r="17" spans="3:19" x14ac:dyDescent="0.25">
      <c r="D17" t="s">
        <v>12</v>
      </c>
      <c r="E17">
        <f>(4.18+2.81)/2</f>
        <v>3.4950000000000001</v>
      </c>
      <c r="F17" s="4">
        <v>2.012</v>
      </c>
      <c r="G17">
        <f>(5.64+5.14)/2</f>
        <v>5.39</v>
      </c>
      <c r="H17">
        <f>(7.22+7.84)/2</f>
        <v>7.5299999999999994</v>
      </c>
      <c r="I17">
        <f>(6.19+  7.2)/2</f>
        <v>6.6950000000000003</v>
      </c>
      <c r="J17">
        <f>(4.18+2.81)/2</f>
        <v>3.4950000000000001</v>
      </c>
      <c r="R17" t="s">
        <v>17</v>
      </c>
      <c r="S17">
        <v>4.9143333333333326</v>
      </c>
    </row>
    <row r="18" spans="3:19" x14ac:dyDescent="0.25">
      <c r="D18" t="s">
        <v>14</v>
      </c>
      <c r="E18">
        <f>(3.9+3.74)/2</f>
        <v>3.8200000000000003</v>
      </c>
      <c r="F18">
        <f>(5.96+7.21)/2</f>
        <v>6.585</v>
      </c>
      <c r="G18">
        <f>(3.25+4.25)/2</f>
        <v>3.75</v>
      </c>
      <c r="H18">
        <f>(6.79+7.26)/2</f>
        <v>7.0250000000000004</v>
      </c>
      <c r="I18">
        <f>(5.31+  5.95)/2</f>
        <v>5.63</v>
      </c>
      <c r="J18">
        <f>(3.9+3.74)/2</f>
        <v>3.8200000000000003</v>
      </c>
      <c r="R18" t="s">
        <v>18</v>
      </c>
      <c r="S18">
        <v>5.935366666666666</v>
      </c>
    </row>
    <row r="19" spans="3:19" x14ac:dyDescent="0.25">
      <c r="C19" t="s">
        <v>22</v>
      </c>
      <c r="D19" t="s">
        <v>9</v>
      </c>
      <c r="E19">
        <f>(5.59+4)/2</f>
        <v>4.7949999999999999</v>
      </c>
      <c r="F19">
        <f>(2.94+4.85)/2</f>
        <v>3.8949999999999996</v>
      </c>
      <c r="G19">
        <f>(4.02+5.1)/2</f>
        <v>4.5599999999999996</v>
      </c>
      <c r="H19">
        <f>(5.86+4.85)/2</f>
        <v>5.3550000000000004</v>
      </c>
      <c r="I19">
        <f>(5.35+  6.29)/2</f>
        <v>5.82</v>
      </c>
      <c r="J19">
        <f>(5.59+4)/2</f>
        <v>4.7949999999999999</v>
      </c>
      <c r="R19" t="s">
        <v>19</v>
      </c>
      <c r="S19">
        <v>6.1511666666666658</v>
      </c>
    </row>
    <row r="20" spans="3:19" x14ac:dyDescent="0.25">
      <c r="D20" t="s">
        <v>10</v>
      </c>
      <c r="E20">
        <f>(2.89+2.94)/2</f>
        <v>2.915</v>
      </c>
      <c r="F20">
        <f>(4.54+6.89)/2</f>
        <v>5.7149999999999999</v>
      </c>
      <c r="G20">
        <f>(5.72+4.94)/2</f>
        <v>5.33</v>
      </c>
      <c r="H20" s="4">
        <v>6.8559999999999999</v>
      </c>
      <c r="I20">
        <f>(3.56+  7.56)/2</f>
        <v>5.56</v>
      </c>
      <c r="J20">
        <f>(2.89+2.94)/2</f>
        <v>2.915</v>
      </c>
    </row>
    <row r="21" spans="3:19" x14ac:dyDescent="0.25">
      <c r="D21" t="s">
        <v>11</v>
      </c>
      <c r="E21">
        <f>(2.98+2.62)/2</f>
        <v>2.8</v>
      </c>
      <c r="F21">
        <v>2</v>
      </c>
      <c r="G21">
        <f>(4.42+5.18)/2</f>
        <v>4.8</v>
      </c>
      <c r="H21">
        <f>(4.79+6.25)/2</f>
        <v>5.52</v>
      </c>
      <c r="I21">
        <f>(4.98+  8.46)/2</f>
        <v>6.7200000000000006</v>
      </c>
      <c r="J21">
        <f>(2.98+2.62)/2</f>
        <v>2.8</v>
      </c>
    </row>
    <row r="22" spans="3:19" x14ac:dyDescent="0.25">
      <c r="D22" t="s">
        <v>12</v>
      </c>
      <c r="E22">
        <f>(3.3+3.87)/2</f>
        <v>3.585</v>
      </c>
      <c r="F22">
        <f>(4.04+3.49)/2</f>
        <v>3.7650000000000001</v>
      </c>
      <c r="G22">
        <f>(6.94+4.98)/2</f>
        <v>5.9600000000000009</v>
      </c>
      <c r="H22">
        <f>(6.36+5.21)/2</f>
        <v>5.7850000000000001</v>
      </c>
      <c r="I22">
        <f>(4.99+  5.66)/2</f>
        <v>5.3250000000000002</v>
      </c>
      <c r="J22">
        <f>(3.3+3.87)/2</f>
        <v>3.585</v>
      </c>
    </row>
    <row r="23" spans="3:19" x14ac:dyDescent="0.25">
      <c r="D23" t="s">
        <v>14</v>
      </c>
      <c r="E23">
        <f>(2.34+3.74)/2</f>
        <v>3.04</v>
      </c>
      <c r="F23">
        <f>(5.51+7.21)/2</f>
        <v>6.3599999999999994</v>
      </c>
      <c r="G23">
        <f>(4.57+4.38)/2</f>
        <v>4.4749999999999996</v>
      </c>
      <c r="H23">
        <f>(5.34+5.81)/2</f>
        <v>5.5749999999999993</v>
      </c>
      <c r="I23">
        <f>(7.04+  8.52)/2</f>
        <v>7.7799999999999994</v>
      </c>
      <c r="J23">
        <f>(2.34+3.74)/2</f>
        <v>3.04</v>
      </c>
    </row>
    <row r="24" spans="3:19" x14ac:dyDescent="0.25">
      <c r="C24" t="s">
        <v>23</v>
      </c>
      <c r="D24" t="s">
        <v>9</v>
      </c>
      <c r="E24">
        <f>(2.32+3.52)/2</f>
        <v>2.92</v>
      </c>
      <c r="F24">
        <f>(2.85+5)/2</f>
        <v>3.9249999999999998</v>
      </c>
      <c r="G24">
        <f>(5.47+4.37)/2</f>
        <v>4.92</v>
      </c>
      <c r="H24">
        <f>(5.2+4.38)/2</f>
        <v>4.79</v>
      </c>
      <c r="I24">
        <f>(5.32+  7.58)/2</f>
        <v>6.45</v>
      </c>
      <c r="J24">
        <f>(2.32+3.52)/2</f>
        <v>2.92</v>
      </c>
    </row>
    <row r="25" spans="3:19" x14ac:dyDescent="0.25">
      <c r="D25" t="s">
        <v>10</v>
      </c>
      <c r="E25">
        <f>(3.07+3.74)/2</f>
        <v>3.4050000000000002</v>
      </c>
      <c r="F25" s="4">
        <v>5.41</v>
      </c>
      <c r="G25">
        <f>(4.09+5.93)/2</f>
        <v>5.01</v>
      </c>
      <c r="H25" s="4">
        <v>6.9560000000000004</v>
      </c>
      <c r="I25">
        <f>(7.38+  7.58)/2</f>
        <v>7.48</v>
      </c>
      <c r="J25">
        <f>(3.07+3.74)/2</f>
        <v>3.4050000000000002</v>
      </c>
    </row>
    <row r="26" spans="3:19" x14ac:dyDescent="0.25">
      <c r="D26" t="s">
        <v>11</v>
      </c>
      <c r="E26">
        <f>(3+4.82)/2</f>
        <v>3.91</v>
      </c>
      <c r="F26">
        <v>4.5250000000000004</v>
      </c>
      <c r="G26">
        <f>(6.7+4.29)/2</f>
        <v>5.4950000000000001</v>
      </c>
      <c r="H26">
        <f>(4.79+6.25)/2</f>
        <v>5.52</v>
      </c>
      <c r="I26">
        <f>(7.31+  6.3)/2</f>
        <v>6.8049999999999997</v>
      </c>
      <c r="J26">
        <f>(3+4.82)/2</f>
        <v>3.91</v>
      </c>
    </row>
    <row r="27" spans="3:19" x14ac:dyDescent="0.25">
      <c r="D27" t="s">
        <v>12</v>
      </c>
      <c r="E27">
        <f>(3.84+4.12)/2</f>
        <v>3.98</v>
      </c>
      <c r="F27" s="4">
        <v>3.5270000000000001</v>
      </c>
      <c r="G27">
        <v>6.43</v>
      </c>
      <c r="H27">
        <f>(5.87+6.39)/2</f>
        <v>6.13</v>
      </c>
      <c r="I27">
        <f>(4.87+    4.32)/2</f>
        <v>4.5950000000000006</v>
      </c>
      <c r="J27">
        <f>(3.84+4.12)/2</f>
        <v>3.98</v>
      </c>
    </row>
    <row r="28" spans="3:19" x14ac:dyDescent="0.25">
      <c r="D28" t="s">
        <v>14</v>
      </c>
      <c r="E28">
        <f>(3.88+2.76)/2</f>
        <v>3.32</v>
      </c>
      <c r="F28">
        <v>5.57</v>
      </c>
      <c r="G28">
        <f>(4.92+6.33)/2</f>
        <v>5.625</v>
      </c>
      <c r="H28">
        <v>6.8789999999999996</v>
      </c>
      <c r="I28">
        <f>(5.69+  5.84)/2</f>
        <v>5.7650000000000006</v>
      </c>
      <c r="J28">
        <f>(3.88+2.76)/2</f>
        <v>3.32</v>
      </c>
    </row>
    <row r="29" spans="3:19" x14ac:dyDescent="0.25">
      <c r="C29" t="s">
        <v>24</v>
      </c>
      <c r="D29" t="s">
        <v>9</v>
      </c>
      <c r="E29">
        <f t="shared" ref="E29:J29" si="1">(6.68+6.97)/2</f>
        <v>6.8249999999999993</v>
      </c>
      <c r="F29">
        <f t="shared" si="1"/>
        <v>6.8249999999999993</v>
      </c>
      <c r="G29">
        <f t="shared" si="1"/>
        <v>6.8249999999999993</v>
      </c>
      <c r="H29">
        <f t="shared" si="1"/>
        <v>6.8249999999999993</v>
      </c>
      <c r="I29">
        <f t="shared" si="1"/>
        <v>6.8249999999999993</v>
      </c>
      <c r="J29">
        <f t="shared" si="1"/>
        <v>6.8249999999999993</v>
      </c>
    </row>
    <row r="30" spans="3:19" x14ac:dyDescent="0.25">
      <c r="D30" t="s">
        <v>10</v>
      </c>
      <c r="E30">
        <f t="shared" ref="E30:J30" si="2">(6.19+6.85)/2</f>
        <v>6.52</v>
      </c>
      <c r="F30">
        <f t="shared" si="2"/>
        <v>6.52</v>
      </c>
      <c r="G30">
        <f t="shared" si="2"/>
        <v>6.52</v>
      </c>
      <c r="H30">
        <f t="shared" si="2"/>
        <v>6.52</v>
      </c>
      <c r="I30">
        <f t="shared" si="2"/>
        <v>6.52</v>
      </c>
      <c r="J30">
        <f t="shared" si="2"/>
        <v>6.52</v>
      </c>
    </row>
    <row r="31" spans="3:19" x14ac:dyDescent="0.25">
      <c r="D31" t="s">
        <v>11</v>
      </c>
      <c r="E31">
        <f t="shared" ref="E31:J31" si="3">(6.05+7.76)/2</f>
        <v>6.9049999999999994</v>
      </c>
      <c r="F31">
        <f t="shared" si="3"/>
        <v>6.9049999999999994</v>
      </c>
      <c r="G31">
        <f t="shared" si="3"/>
        <v>6.9049999999999994</v>
      </c>
      <c r="H31">
        <f t="shared" si="3"/>
        <v>6.9049999999999994</v>
      </c>
      <c r="I31">
        <f t="shared" si="3"/>
        <v>6.9049999999999994</v>
      </c>
      <c r="J31">
        <f t="shared" si="3"/>
        <v>6.9049999999999994</v>
      </c>
    </row>
    <row r="32" spans="3:19" x14ac:dyDescent="0.25">
      <c r="D32" t="s">
        <v>12</v>
      </c>
      <c r="E32">
        <f t="shared" ref="E32:J32" si="4">(6.39+7)/2</f>
        <v>6.6950000000000003</v>
      </c>
      <c r="F32">
        <f t="shared" si="4"/>
        <v>6.6950000000000003</v>
      </c>
      <c r="G32">
        <f t="shared" si="4"/>
        <v>6.6950000000000003</v>
      </c>
      <c r="H32">
        <f t="shared" si="4"/>
        <v>6.6950000000000003</v>
      </c>
      <c r="I32">
        <f t="shared" si="4"/>
        <v>6.6950000000000003</v>
      </c>
      <c r="J32">
        <f t="shared" si="4"/>
        <v>6.6950000000000003</v>
      </c>
    </row>
    <row r="33" spans="4:10" x14ac:dyDescent="0.25">
      <c r="D33" t="s">
        <v>14</v>
      </c>
      <c r="E33">
        <f t="shared" ref="E33:J33" si="5">(8.43+8.94)/2</f>
        <v>8.6849999999999987</v>
      </c>
      <c r="F33">
        <f t="shared" si="5"/>
        <v>8.6849999999999987</v>
      </c>
      <c r="G33">
        <f t="shared" si="5"/>
        <v>8.6849999999999987</v>
      </c>
      <c r="H33">
        <f t="shared" si="5"/>
        <v>8.6849999999999987</v>
      </c>
      <c r="I33">
        <f t="shared" si="5"/>
        <v>8.6849999999999987</v>
      </c>
      <c r="J33">
        <f t="shared" si="5"/>
        <v>8.6849999999999987</v>
      </c>
    </row>
    <row r="34" spans="4:10" x14ac:dyDescent="0.25">
      <c r="J34">
        <v>2.8959999999999999</v>
      </c>
    </row>
    <row r="35" spans="4:10" x14ac:dyDescent="0.25">
      <c r="J35">
        <v>3.0579999999999998</v>
      </c>
    </row>
    <row r="36" spans="4:10" x14ac:dyDescent="0.25">
      <c r="J36">
        <v>2.8820000000000001</v>
      </c>
    </row>
    <row r="37" spans="4:10" x14ac:dyDescent="0.25">
      <c r="J37">
        <v>3.0939999999999999</v>
      </c>
    </row>
    <row r="38" spans="4:10" x14ac:dyDescent="0.25">
      <c r="J38">
        <v>3.5750000000000002</v>
      </c>
    </row>
    <row r="39" spans="4:10" x14ac:dyDescent="0.25">
      <c r="J39">
        <v>4.6100000000000003</v>
      </c>
    </row>
    <row r="40" spans="4:10" x14ac:dyDescent="0.25">
      <c r="J40">
        <v>3.6520000000000001</v>
      </c>
    </row>
    <row r="41" spans="4:10" x14ac:dyDescent="0.25">
      <c r="J41" s="4">
        <v>3.73</v>
      </c>
    </row>
    <row r="42" spans="4:10" x14ac:dyDescent="0.25">
      <c r="J42">
        <f>(4.22+3.33)/2</f>
        <v>3.7749999999999999</v>
      </c>
    </row>
    <row r="43" spans="4:10" x14ac:dyDescent="0.25">
      <c r="J43" s="4">
        <v>2.456</v>
      </c>
    </row>
    <row r="44" spans="4:10" x14ac:dyDescent="0.25">
      <c r="J44" s="4">
        <v>3.19</v>
      </c>
    </row>
    <row r="45" spans="4:10" x14ac:dyDescent="0.25">
      <c r="J45">
        <v>4.3360000000000003</v>
      </c>
    </row>
    <row r="46" spans="4:10" x14ac:dyDescent="0.25">
      <c r="J46">
        <f>(4.02+3.33)/2</f>
        <v>3.6749999999999998</v>
      </c>
    </row>
    <row r="47" spans="4:10" x14ac:dyDescent="0.25">
      <c r="J47" s="4">
        <v>2.012</v>
      </c>
    </row>
    <row r="48" spans="4:10" x14ac:dyDescent="0.25">
      <c r="J48">
        <f>(5.96+7.21)/2</f>
        <v>6.585</v>
      </c>
    </row>
    <row r="49" spans="10:10" x14ac:dyDescent="0.25">
      <c r="J49">
        <f>(2.94+4.85)/2</f>
        <v>3.8949999999999996</v>
      </c>
    </row>
    <row r="50" spans="10:10" x14ac:dyDescent="0.25">
      <c r="J50">
        <f>(4.54+6.89)/2</f>
        <v>5.7149999999999999</v>
      </c>
    </row>
    <row r="51" spans="10:10" x14ac:dyDescent="0.25">
      <c r="J51">
        <v>2</v>
      </c>
    </row>
    <row r="52" spans="10:10" x14ac:dyDescent="0.25">
      <c r="J52">
        <f>(4.04+3.49)/2</f>
        <v>3.7650000000000001</v>
      </c>
    </row>
    <row r="53" spans="10:10" x14ac:dyDescent="0.25">
      <c r="J53">
        <f>(5.51+7.21)/2</f>
        <v>6.3599999999999994</v>
      </c>
    </row>
    <row r="54" spans="10:10" x14ac:dyDescent="0.25">
      <c r="J54">
        <f>(2.85+5)/2</f>
        <v>3.9249999999999998</v>
      </c>
    </row>
    <row r="55" spans="10:10" x14ac:dyDescent="0.25">
      <c r="J55" s="4">
        <v>5.41</v>
      </c>
    </row>
    <row r="56" spans="10:10" x14ac:dyDescent="0.25">
      <c r="J56">
        <v>4.5250000000000004</v>
      </c>
    </row>
    <row r="57" spans="10:10" x14ac:dyDescent="0.25">
      <c r="J57" s="4">
        <v>3.5270000000000001</v>
      </c>
    </row>
    <row r="58" spans="10:10" x14ac:dyDescent="0.25">
      <c r="J58">
        <v>5.57</v>
      </c>
    </row>
    <row r="59" spans="10:10" x14ac:dyDescent="0.25">
      <c r="J59">
        <f>(6.68+6.97)/2</f>
        <v>6.8249999999999993</v>
      </c>
    </row>
    <row r="60" spans="10:10" x14ac:dyDescent="0.25">
      <c r="J60">
        <f>(6.19+6.85)/2</f>
        <v>6.52</v>
      </c>
    </row>
    <row r="61" spans="10:10" x14ac:dyDescent="0.25">
      <c r="J61">
        <f>(6.05+7.76)/2</f>
        <v>6.9049999999999994</v>
      </c>
    </row>
    <row r="62" spans="10:10" x14ac:dyDescent="0.25">
      <c r="J62">
        <f>(6.39+7)/2</f>
        <v>6.6950000000000003</v>
      </c>
    </row>
    <row r="63" spans="10:10" x14ac:dyDescent="0.25">
      <c r="J63">
        <f>(8.43+8.94)/2</f>
        <v>8.6849999999999987</v>
      </c>
    </row>
    <row r="64" spans="10:10" x14ac:dyDescent="0.25">
      <c r="J64">
        <f>(3.51+2.1)/2</f>
        <v>2.8049999999999997</v>
      </c>
    </row>
    <row r="65" spans="10:10" x14ac:dyDescent="0.25">
      <c r="J65">
        <f>(2.32+2.32)/2</f>
        <v>2.3199999999999998</v>
      </c>
    </row>
    <row r="66" spans="10:10" x14ac:dyDescent="0.25">
      <c r="J66">
        <f>(3.79+3.58)/2</f>
        <v>3.6850000000000001</v>
      </c>
    </row>
    <row r="67" spans="10:10" x14ac:dyDescent="0.25">
      <c r="J67">
        <f>(4.04+3.48)/2</f>
        <v>3.76</v>
      </c>
    </row>
    <row r="68" spans="10:10" x14ac:dyDescent="0.25">
      <c r="J68">
        <f>(3.57+2.93)/2</f>
        <v>3.25</v>
      </c>
    </row>
    <row r="69" spans="10:10" x14ac:dyDescent="0.25">
      <c r="J69">
        <f>(4.04+3.82)/2</f>
        <v>3.9299999999999997</v>
      </c>
    </row>
    <row r="70" spans="10:10" x14ac:dyDescent="0.25">
      <c r="J70">
        <f>(4.58+4.05)/2</f>
        <v>4.3149999999999995</v>
      </c>
    </row>
    <row r="71" spans="10:10" x14ac:dyDescent="0.25">
      <c r="J71">
        <f>(3.14+3.24)/2</f>
        <v>3.1900000000000004</v>
      </c>
    </row>
    <row r="72" spans="10:10" x14ac:dyDescent="0.25">
      <c r="J72">
        <f>(3.38+3.88)/2</f>
        <v>3.63</v>
      </c>
    </row>
    <row r="73" spans="10:10" x14ac:dyDescent="0.25">
      <c r="J73">
        <f>(4.01+3.88)/2</f>
        <v>3.9449999999999998</v>
      </c>
    </row>
    <row r="74" spans="10:10" x14ac:dyDescent="0.25">
      <c r="J74">
        <f>(5.15+4.1)/2</f>
        <v>4.625</v>
      </c>
    </row>
    <row r="75" spans="10:10" x14ac:dyDescent="0.25">
      <c r="J75">
        <f>(5.13+5.92)/2</f>
        <v>5.5250000000000004</v>
      </c>
    </row>
    <row r="76" spans="10:10" x14ac:dyDescent="0.25">
      <c r="J76">
        <f>(5.63+4.52)/2</f>
        <v>5.0749999999999993</v>
      </c>
    </row>
    <row r="77" spans="10:10" x14ac:dyDescent="0.25">
      <c r="J77">
        <f>(5.64+5.14)/2</f>
        <v>5.39</v>
      </c>
    </row>
    <row r="78" spans="10:10" x14ac:dyDescent="0.25">
      <c r="J78">
        <f>(3.25+4.25)/2</f>
        <v>3.75</v>
      </c>
    </row>
    <row r="79" spans="10:10" x14ac:dyDescent="0.25">
      <c r="J79">
        <f>(4.02+5.1)/2</f>
        <v>4.5599999999999996</v>
      </c>
    </row>
    <row r="80" spans="10:10" x14ac:dyDescent="0.25">
      <c r="J80">
        <f>(5.72+4.94)/2</f>
        <v>5.33</v>
      </c>
    </row>
    <row r="81" spans="10:10" x14ac:dyDescent="0.25">
      <c r="J81">
        <f>(4.42+5.18)/2</f>
        <v>4.8</v>
      </c>
    </row>
    <row r="82" spans="10:10" x14ac:dyDescent="0.25">
      <c r="J82">
        <f>(6.94+4.98)/2</f>
        <v>5.9600000000000009</v>
      </c>
    </row>
    <row r="83" spans="10:10" x14ac:dyDescent="0.25">
      <c r="J83">
        <f>(4.57+4.38)/2</f>
        <v>4.4749999999999996</v>
      </c>
    </row>
    <row r="84" spans="10:10" x14ac:dyDescent="0.25">
      <c r="J84">
        <f>(5.47+4.37)/2</f>
        <v>4.92</v>
      </c>
    </row>
    <row r="85" spans="10:10" x14ac:dyDescent="0.25">
      <c r="J85">
        <f>(4.09+5.93)/2</f>
        <v>5.01</v>
      </c>
    </row>
    <row r="86" spans="10:10" x14ac:dyDescent="0.25">
      <c r="J86">
        <f>(6.7+4.29)/2</f>
        <v>5.4950000000000001</v>
      </c>
    </row>
    <row r="87" spans="10:10" x14ac:dyDescent="0.25">
      <c r="J87">
        <v>6.43</v>
      </c>
    </row>
    <row r="88" spans="10:10" x14ac:dyDescent="0.25">
      <c r="J88">
        <f>(4.92+6.33)/2</f>
        <v>5.625</v>
      </c>
    </row>
    <row r="89" spans="10:10" x14ac:dyDescent="0.25">
      <c r="J89">
        <f>(6.68+6.97)/2</f>
        <v>6.8249999999999993</v>
      </c>
    </row>
    <row r="90" spans="10:10" x14ac:dyDescent="0.25">
      <c r="J90">
        <f>(6.19+6.85)/2</f>
        <v>6.52</v>
      </c>
    </row>
    <row r="91" spans="10:10" x14ac:dyDescent="0.25">
      <c r="J91">
        <f>(6.05+7.76)/2</f>
        <v>6.9049999999999994</v>
      </c>
    </row>
    <row r="92" spans="10:10" x14ac:dyDescent="0.25">
      <c r="J92">
        <f>(6.39+7)/2</f>
        <v>6.6950000000000003</v>
      </c>
    </row>
    <row r="93" spans="10:10" x14ac:dyDescent="0.25">
      <c r="J93">
        <f>(8.43+8.94)/2</f>
        <v>8.6849999999999987</v>
      </c>
    </row>
    <row r="94" spans="10:10" x14ac:dyDescent="0.25">
      <c r="J94">
        <f>(3.26+5.14)/2</f>
        <v>4.1999999999999993</v>
      </c>
    </row>
    <row r="95" spans="10:10" x14ac:dyDescent="0.25">
      <c r="J95">
        <f>(5.21+5.12)/2</f>
        <v>5.165</v>
      </c>
    </row>
    <row r="96" spans="10:10" x14ac:dyDescent="0.25">
      <c r="J96">
        <f>(3.82+6.2)/2</f>
        <v>5.01</v>
      </c>
    </row>
    <row r="97" spans="10:10" x14ac:dyDescent="0.25">
      <c r="J97">
        <f>(5.81+6.88)/2</f>
        <v>6.3449999999999998</v>
      </c>
    </row>
    <row r="98" spans="10:10" x14ac:dyDescent="0.25">
      <c r="J98">
        <f>(6.96+5.54)/2</f>
        <v>6.25</v>
      </c>
    </row>
    <row r="99" spans="10:10" x14ac:dyDescent="0.25">
      <c r="J99">
        <f>(3.68+7.35)/2</f>
        <v>5.5149999999999997</v>
      </c>
    </row>
    <row r="100" spans="10:10" x14ac:dyDescent="0.25">
      <c r="J100">
        <v>5.6950000000000003</v>
      </c>
    </row>
    <row r="101" spans="10:10" x14ac:dyDescent="0.25">
      <c r="J101">
        <f>(6.14+5.38)/2</f>
        <v>5.76</v>
      </c>
    </row>
    <row r="102" spans="10:10" x14ac:dyDescent="0.25">
      <c r="J102">
        <f>(6.33+5.28)/2</f>
        <v>5.8049999999999997</v>
      </c>
    </row>
    <row r="103" spans="10:10" x14ac:dyDescent="0.25">
      <c r="J103">
        <v>4.25</v>
      </c>
    </row>
    <row r="104" spans="10:10" x14ac:dyDescent="0.25">
      <c r="J104">
        <f>(3.59+3.04)/2</f>
        <v>3.3149999999999999</v>
      </c>
    </row>
    <row r="105" spans="10:10" x14ac:dyDescent="0.25">
      <c r="J105">
        <f>(6.53+5.62)/2</f>
        <v>6.0750000000000002</v>
      </c>
    </row>
    <row r="106" spans="10:10" x14ac:dyDescent="0.25">
      <c r="J106">
        <f>(3.81+6.44)/2</f>
        <v>5.125</v>
      </c>
    </row>
    <row r="107" spans="10:10" x14ac:dyDescent="0.25">
      <c r="J107">
        <f>(7.22+7.84)/2</f>
        <v>7.5299999999999994</v>
      </c>
    </row>
    <row r="108" spans="10:10" x14ac:dyDescent="0.25">
      <c r="J108">
        <f>(6.79+7.26)/2</f>
        <v>7.0250000000000004</v>
      </c>
    </row>
    <row r="109" spans="10:10" x14ac:dyDescent="0.25">
      <c r="J109">
        <f>(5.86+4.85)/2</f>
        <v>5.3550000000000004</v>
      </c>
    </row>
    <row r="110" spans="10:10" x14ac:dyDescent="0.25">
      <c r="J110" s="4">
        <v>6.8559999999999999</v>
      </c>
    </row>
    <row r="111" spans="10:10" x14ac:dyDescent="0.25">
      <c r="J111">
        <f>(4.79+6.25)/2</f>
        <v>5.52</v>
      </c>
    </row>
    <row r="112" spans="10:10" x14ac:dyDescent="0.25">
      <c r="J112">
        <f>(6.36+5.21)/2</f>
        <v>5.7850000000000001</v>
      </c>
    </row>
    <row r="113" spans="10:10" x14ac:dyDescent="0.25">
      <c r="J113">
        <f>(5.34+5.81)/2</f>
        <v>5.5749999999999993</v>
      </c>
    </row>
    <row r="114" spans="10:10" x14ac:dyDescent="0.25">
      <c r="J114">
        <f>(5.2+4.38)/2</f>
        <v>4.79</v>
      </c>
    </row>
    <row r="115" spans="10:10" x14ac:dyDescent="0.25">
      <c r="J115" s="4">
        <v>6.9560000000000004</v>
      </c>
    </row>
    <row r="116" spans="10:10" x14ac:dyDescent="0.25">
      <c r="J116">
        <f>(4.79+6.25)/2</f>
        <v>5.52</v>
      </c>
    </row>
    <row r="117" spans="10:10" x14ac:dyDescent="0.25">
      <c r="J117">
        <f>(5.87+6.39)/2</f>
        <v>6.13</v>
      </c>
    </row>
    <row r="118" spans="10:10" x14ac:dyDescent="0.25">
      <c r="J118">
        <v>6.8789999999999996</v>
      </c>
    </row>
    <row r="119" spans="10:10" x14ac:dyDescent="0.25">
      <c r="J119">
        <f>(6.68+6.97)/2</f>
        <v>6.8249999999999993</v>
      </c>
    </row>
    <row r="120" spans="10:10" x14ac:dyDescent="0.25">
      <c r="J120">
        <f>(6.19+6.85)/2</f>
        <v>6.52</v>
      </c>
    </row>
    <row r="121" spans="10:10" x14ac:dyDescent="0.25">
      <c r="J121">
        <f>(6.05+7.76)/2</f>
        <v>6.9049999999999994</v>
      </c>
    </row>
    <row r="122" spans="10:10" x14ac:dyDescent="0.25">
      <c r="J122">
        <f>(6.39+7)/2</f>
        <v>6.6950000000000003</v>
      </c>
    </row>
    <row r="123" spans="10:10" x14ac:dyDescent="0.25">
      <c r="J123">
        <f>(8.43+8.94)/2</f>
        <v>8.6849999999999987</v>
      </c>
    </row>
    <row r="124" spans="10:10" x14ac:dyDescent="0.25">
      <c r="J124">
        <f>(5.16+   3.9)/2</f>
        <v>4.53</v>
      </c>
    </row>
    <row r="125" spans="10:10" x14ac:dyDescent="0.25">
      <c r="J125">
        <f>(2.4+   4.86)/2</f>
        <v>3.63</v>
      </c>
    </row>
    <row r="126" spans="10:10" x14ac:dyDescent="0.25">
      <c r="J126">
        <f>(4.83+   4.37)/2</f>
        <v>4.5999999999999996</v>
      </c>
    </row>
    <row r="127" spans="10:10" x14ac:dyDescent="0.25">
      <c r="J127">
        <f>(7.25+   7.28)/2</f>
        <v>7.2650000000000006</v>
      </c>
    </row>
    <row r="128" spans="10:10" x14ac:dyDescent="0.25">
      <c r="J128">
        <f>(6.17+   6.13)/2</f>
        <v>6.15</v>
      </c>
    </row>
    <row r="129" spans="10:10" x14ac:dyDescent="0.25">
      <c r="J129">
        <f>(6.32+    6.89)/2</f>
        <v>6.6050000000000004</v>
      </c>
    </row>
    <row r="130" spans="10:10" x14ac:dyDescent="0.25">
      <c r="J130">
        <f>(6.56+   6.46)/2</f>
        <v>6.51</v>
      </c>
    </row>
    <row r="131" spans="10:10" x14ac:dyDescent="0.25">
      <c r="J131">
        <f>(7+     4.97)/2</f>
        <v>5.9849999999999994</v>
      </c>
    </row>
    <row r="132" spans="10:10" x14ac:dyDescent="0.25">
      <c r="J132">
        <f>(3.43+  2.51)/2</f>
        <v>2.9699999999999998</v>
      </c>
    </row>
    <row r="133" spans="10:10" x14ac:dyDescent="0.25">
      <c r="J133">
        <f>(2.79+  2.98)/2</f>
        <v>2.8849999999999998</v>
      </c>
    </row>
    <row r="134" spans="10:10" x14ac:dyDescent="0.25">
      <c r="J134">
        <f>(2.91+  3.93)/2</f>
        <v>3.42</v>
      </c>
    </row>
    <row r="135" spans="10:10" x14ac:dyDescent="0.25">
      <c r="J135">
        <f>(3.61+  7.6)/2</f>
        <v>5.6049999999999995</v>
      </c>
    </row>
    <row r="136" spans="10:10" x14ac:dyDescent="0.25">
      <c r="J136">
        <f>(4.89+  5.36)/2</f>
        <v>5.125</v>
      </c>
    </row>
    <row r="137" spans="10:10" x14ac:dyDescent="0.25">
      <c r="J137">
        <f>(3.19+  7.2)/2</f>
        <v>5.1950000000000003</v>
      </c>
    </row>
    <row r="138" spans="10:10" x14ac:dyDescent="0.25">
      <c r="J138">
        <f>(3.31+  4.95)/2</f>
        <v>4.13</v>
      </c>
    </row>
    <row r="139" spans="10:10" x14ac:dyDescent="0.25">
      <c r="J139">
        <f>(3.35+  6.29)/2</f>
        <v>4.82</v>
      </c>
    </row>
    <row r="140" spans="10:10" x14ac:dyDescent="0.25">
      <c r="J140">
        <f>(3.56+  7.56)/2</f>
        <v>5.56</v>
      </c>
    </row>
    <row r="141" spans="10:10" x14ac:dyDescent="0.25">
      <c r="J141">
        <f>(4.98+  8.46)/2</f>
        <v>6.7200000000000006</v>
      </c>
    </row>
    <row r="142" spans="10:10" x14ac:dyDescent="0.25">
      <c r="J142">
        <f>(4.99+  5.66)/2</f>
        <v>5.3250000000000002</v>
      </c>
    </row>
    <row r="143" spans="10:10" x14ac:dyDescent="0.25">
      <c r="J143">
        <f>(7.04+  8.52)/2</f>
        <v>7.7799999999999994</v>
      </c>
    </row>
    <row r="144" spans="10:10" x14ac:dyDescent="0.25">
      <c r="J144">
        <f>(5.32+  3.58)/2</f>
        <v>4.45</v>
      </c>
    </row>
    <row r="145" spans="10:10" x14ac:dyDescent="0.25">
      <c r="J145">
        <f>(7.38+  7.58)/2</f>
        <v>7.48</v>
      </c>
    </row>
    <row r="146" spans="10:10" x14ac:dyDescent="0.25">
      <c r="J146">
        <f>(7.31+  6.3)/2</f>
        <v>6.8049999999999997</v>
      </c>
    </row>
    <row r="147" spans="10:10" x14ac:dyDescent="0.25">
      <c r="J147">
        <f>(4.87+    4.32)/2</f>
        <v>4.5950000000000006</v>
      </c>
    </row>
    <row r="148" spans="10:10" x14ac:dyDescent="0.25">
      <c r="J148">
        <f>(5.69+  5.84)/2</f>
        <v>5.7650000000000006</v>
      </c>
    </row>
    <row r="149" spans="10:10" x14ac:dyDescent="0.25">
      <c r="J149">
        <f>(6.68+6.97)/2</f>
        <v>6.8249999999999993</v>
      </c>
    </row>
    <row r="150" spans="10:10" x14ac:dyDescent="0.25">
      <c r="J150">
        <f>(6.19+6.85)/2</f>
        <v>6.52</v>
      </c>
    </row>
    <row r="151" spans="10:10" x14ac:dyDescent="0.25">
      <c r="J151">
        <f>(6.05+7.76)/2</f>
        <v>6.9049999999999994</v>
      </c>
    </row>
    <row r="152" spans="10:10" x14ac:dyDescent="0.25">
      <c r="J152">
        <f>(6.39+7)/2</f>
        <v>6.6950000000000003</v>
      </c>
    </row>
    <row r="153" spans="10:10" x14ac:dyDescent="0.25">
      <c r="J153">
        <f>(8.43+8.94)/2</f>
        <v>8.6849999999999987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4154-FA8D-4555-A8D1-426CBFD5AF62}">
  <dimension ref="A1:S153"/>
  <sheetViews>
    <sheetView tabSelected="1" topLeftCell="C1" workbookViewId="0">
      <selection activeCell="M9" sqref="M9:R14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0" width="9.140625" style="4"/>
    <col min="11" max="11" width="6.7109375" bestFit="1" customWidth="1"/>
    <col min="12" max="12" width="6.28515625" bestFit="1" customWidth="1"/>
    <col min="13" max="16" width="7.28515625" bestFit="1" customWidth="1"/>
  </cols>
  <sheetData>
    <row r="1" spans="1:19" x14ac:dyDescent="0.25">
      <c r="A1" s="1" t="s">
        <v>25</v>
      </c>
      <c r="B1" s="1" t="s">
        <v>26</v>
      </c>
      <c r="C1" s="1" t="s">
        <v>2</v>
      </c>
    </row>
    <row r="2" spans="1:19" x14ac:dyDescent="0.25">
      <c r="B2">
        <v>2</v>
      </c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19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s="4" t="s">
        <v>28</v>
      </c>
    </row>
    <row r="4" spans="1:19" x14ac:dyDescent="0.25">
      <c r="C4" t="s">
        <v>8</v>
      </c>
      <c r="D4" t="s">
        <v>9</v>
      </c>
      <c r="E4">
        <v>0</v>
      </c>
      <c r="F4">
        <v>0</v>
      </c>
      <c r="G4">
        <f>(1.69+2.88)/2</f>
        <v>2.2850000000000001</v>
      </c>
      <c r="H4">
        <f>(2.85+2.41)/2</f>
        <v>2.63</v>
      </c>
      <c r="I4">
        <f>(4.79+   3.24)/2</f>
        <v>4.0150000000000006</v>
      </c>
      <c r="J4" s="4">
        <v>0</v>
      </c>
    </row>
    <row r="5" spans="1:19" x14ac:dyDescent="0.25">
      <c r="D5" t="s">
        <v>10</v>
      </c>
      <c r="E5">
        <v>0</v>
      </c>
      <c r="F5">
        <v>0</v>
      </c>
      <c r="G5">
        <f>(3.78+2.36)/2</f>
        <v>3.07</v>
      </c>
      <c r="H5">
        <v>2.25</v>
      </c>
      <c r="I5">
        <f>(3.59+   3.52)/2</f>
        <v>3.5549999999999997</v>
      </c>
      <c r="J5" s="4">
        <v>0</v>
      </c>
    </row>
    <row r="6" spans="1:19" x14ac:dyDescent="0.25">
      <c r="D6" t="s">
        <v>11</v>
      </c>
      <c r="E6">
        <v>0</v>
      </c>
      <c r="F6">
        <v>0</v>
      </c>
      <c r="G6">
        <f>(1.59+1.58)/2</f>
        <v>1.585</v>
      </c>
      <c r="H6">
        <f>(2.05+2.17)/2</f>
        <v>2.11</v>
      </c>
      <c r="I6">
        <f>(4.13+   4.3)/2</f>
        <v>4.2149999999999999</v>
      </c>
      <c r="J6" s="4">
        <v>0</v>
      </c>
    </row>
    <row r="7" spans="1:19" x14ac:dyDescent="0.25">
      <c r="D7" t="s">
        <v>12</v>
      </c>
      <c r="E7">
        <v>0</v>
      </c>
      <c r="F7">
        <f>(2.53+1.59)/2</f>
        <v>2.06</v>
      </c>
      <c r="G7">
        <f>(2.89+2.34)/2</f>
        <v>2.6150000000000002</v>
      </c>
      <c r="H7">
        <f>(2.29+2.47)/2</f>
        <v>2.38</v>
      </c>
      <c r="I7">
        <f>(4.85+  5.33)/2</f>
        <v>5.09</v>
      </c>
      <c r="J7" s="4">
        <v>0</v>
      </c>
      <c r="S7" t="s">
        <v>13</v>
      </c>
    </row>
    <row r="8" spans="1:19" x14ac:dyDescent="0.25">
      <c r="D8" t="s">
        <v>14</v>
      </c>
      <c r="E8">
        <v>1.05</v>
      </c>
      <c r="F8" s="4">
        <v>0</v>
      </c>
      <c r="G8">
        <f>(1.17+1.01)/2</f>
        <v>1.0899999999999999</v>
      </c>
      <c r="H8">
        <f>(1.96+1.4)/2</f>
        <v>1.68</v>
      </c>
      <c r="I8">
        <f>(2.58+   5.47)/2</f>
        <v>4.0250000000000004</v>
      </c>
      <c r="J8" s="4">
        <v>1.05</v>
      </c>
      <c r="N8" t="s">
        <v>15</v>
      </c>
      <c r="O8" t="s">
        <v>16</v>
      </c>
      <c r="P8" t="s">
        <v>17</v>
      </c>
      <c r="Q8" t="s">
        <v>18</v>
      </c>
      <c r="R8" t="s">
        <v>19</v>
      </c>
    </row>
    <row r="9" spans="1:19" x14ac:dyDescent="0.25">
      <c r="C9" t="s">
        <v>20</v>
      </c>
      <c r="D9" t="s">
        <v>9</v>
      </c>
      <c r="E9">
        <v>0</v>
      </c>
      <c r="F9" s="4">
        <v>0</v>
      </c>
      <c r="G9">
        <f>(4.48+3.41)/2</f>
        <v>3.9450000000000003</v>
      </c>
      <c r="H9">
        <f>(2.29+3.12)/2</f>
        <v>2.7050000000000001</v>
      </c>
      <c r="I9">
        <f>(5.6+   4.94)/2</f>
        <v>5.27</v>
      </c>
      <c r="J9" s="4">
        <v>0</v>
      </c>
      <c r="M9">
        <v>0</v>
      </c>
      <c r="N9">
        <f>AVERAGE(E29:E33)</f>
        <v>7.1259999999999994</v>
      </c>
      <c r="O9">
        <f>AVERAGE(F29:F33)</f>
        <v>7.1259999999999994</v>
      </c>
      <c r="P9">
        <f>AVERAGE(G29:G33)</f>
        <v>7.1259999999999994</v>
      </c>
      <c r="Q9">
        <f>AVERAGE(H29:H33)</f>
        <v>7.1259999999999994</v>
      </c>
      <c r="R9">
        <f>AVERAGE(I29:I33)</f>
        <v>7.1259999999999994</v>
      </c>
    </row>
    <row r="10" spans="1:19" x14ac:dyDescent="0.25">
      <c r="D10" t="s">
        <v>10</v>
      </c>
      <c r="E10">
        <v>0</v>
      </c>
      <c r="F10" s="4">
        <v>0</v>
      </c>
      <c r="G10">
        <f>(3.58+2.85)/2</f>
        <v>3.2149999999999999</v>
      </c>
      <c r="H10">
        <f>(2.9+3.77)/2</f>
        <v>3.335</v>
      </c>
      <c r="I10">
        <f>(4.82+   5.18)/2</f>
        <v>5</v>
      </c>
      <c r="J10" s="4">
        <v>0</v>
      </c>
      <c r="M10">
        <v>12.5</v>
      </c>
      <c r="N10">
        <f>AVERAGE(E24:E28)</f>
        <v>3.3619999999999997</v>
      </c>
      <c r="O10">
        <f>AVERAGE(F24:F28)</f>
        <v>3.7092000000000001</v>
      </c>
      <c r="P10">
        <f>AVERAGE(G24:G28)</f>
        <v>5.2729999999999988</v>
      </c>
      <c r="Q10">
        <f>AVERAGE(H24:H28)</f>
        <v>6.1129999999999995</v>
      </c>
      <c r="R10">
        <f>AVERAGE(I24:I28)</f>
        <v>5.8870000000000005</v>
      </c>
    </row>
    <row r="11" spans="1:19" x14ac:dyDescent="0.25">
      <c r="D11" t="s">
        <v>11</v>
      </c>
      <c r="E11">
        <v>0.81499999999999995</v>
      </c>
      <c r="F11" s="4">
        <v>0</v>
      </c>
      <c r="G11">
        <f>(3.81+4.73)/2</f>
        <v>4.2700000000000005</v>
      </c>
      <c r="H11">
        <f>(2.3+2.71)/2</f>
        <v>2.5049999999999999</v>
      </c>
      <c r="I11">
        <f>(5.24+ 5.15)/2</f>
        <v>5.1950000000000003</v>
      </c>
      <c r="J11" s="4">
        <v>0.81499999999999995</v>
      </c>
      <c r="M11">
        <v>25</v>
      </c>
      <c r="N11">
        <f>AVERAGE(E19:E23)</f>
        <v>2.5220000000000002</v>
      </c>
      <c r="O11">
        <f>AVERAGE(F19:F23)</f>
        <v>1.9810000000000003</v>
      </c>
      <c r="P11">
        <f>AVERAGE(G19:G23)</f>
        <v>5.0280000000000005</v>
      </c>
      <c r="Q11">
        <f>AVERAGE(H19:H23)</f>
        <v>5.3019999999999996</v>
      </c>
      <c r="R11">
        <f>AVERAGE(I19:I23)</f>
        <v>5.4670000000000005</v>
      </c>
    </row>
    <row r="12" spans="1:19" x14ac:dyDescent="0.25">
      <c r="D12" t="s">
        <v>12</v>
      </c>
      <c r="E12">
        <v>0</v>
      </c>
      <c r="F12" s="4">
        <v>0</v>
      </c>
      <c r="G12">
        <f>(3.12+3.01)/2</f>
        <v>3.0649999999999999</v>
      </c>
      <c r="H12">
        <f>(2.01+2.69)/2</f>
        <v>2.3499999999999996</v>
      </c>
      <c r="I12">
        <f>(5.53+   6.16)/2</f>
        <v>5.8450000000000006</v>
      </c>
      <c r="J12" s="4">
        <v>0</v>
      </c>
      <c r="M12">
        <v>50</v>
      </c>
      <c r="N12">
        <f>AVERAGE(E14:E18)</f>
        <v>1.7910000000000004</v>
      </c>
      <c r="O12">
        <f>AVERAGE(F14:F18)</f>
        <v>1.3859999999999999</v>
      </c>
      <c r="P12">
        <f>AVERAGE(G14:G18)</f>
        <v>4.3290000000000006</v>
      </c>
      <c r="Q12">
        <f>AVERAGE(H14:H18)</f>
        <v>4.0129999999999999</v>
      </c>
      <c r="R12">
        <f>AVERAGE(I14:I18)</f>
        <v>5.2870000000000008</v>
      </c>
    </row>
    <row r="13" spans="1:19" x14ac:dyDescent="0.25">
      <c r="D13" t="s">
        <v>14</v>
      </c>
      <c r="E13">
        <f>(1.66+1.35)/2</f>
        <v>1.5049999999999999</v>
      </c>
      <c r="F13">
        <f>(2.82+1.31)/2</f>
        <v>2.0649999999999999</v>
      </c>
      <c r="G13">
        <f>(2.14+3.97)/2</f>
        <v>3.0550000000000002</v>
      </c>
      <c r="H13">
        <f>(2.39+3.79)/2</f>
        <v>3.09</v>
      </c>
      <c r="I13">
        <f>(5.39+ 5.1)/2</f>
        <v>5.2449999999999992</v>
      </c>
      <c r="J13" s="4">
        <f>(1.66+1.35)/2</f>
        <v>1.5049999999999999</v>
      </c>
      <c r="M13">
        <v>100</v>
      </c>
      <c r="N13">
        <f>AVERAGE(E9:E13)</f>
        <v>0.46399999999999997</v>
      </c>
      <c r="O13">
        <f>AVERAGE(F9:F13)</f>
        <v>0.41299999999999998</v>
      </c>
      <c r="P13">
        <f>AVERAGE(G9:G13)</f>
        <v>3.5100000000000002</v>
      </c>
      <c r="Q13">
        <f>AVERAGE(H9:H13)</f>
        <v>2.7969999999999997</v>
      </c>
      <c r="R13">
        <f>AVERAGE(I9:I13)</f>
        <v>5.3109999999999999</v>
      </c>
    </row>
    <row r="14" spans="1:19" x14ac:dyDescent="0.25">
      <c r="C14" t="s">
        <v>21</v>
      </c>
      <c r="D14" t="s">
        <v>9</v>
      </c>
      <c r="E14">
        <f>(0.45+0.63)/2</f>
        <v>0.54</v>
      </c>
      <c r="F14">
        <v>1.46</v>
      </c>
      <c r="G14">
        <f>(5.9+2.52)/2</f>
        <v>4.21</v>
      </c>
      <c r="H14">
        <f>(4.39+5.45)/2</f>
        <v>4.92</v>
      </c>
      <c r="I14">
        <f>(6+     6.6)/2</f>
        <v>6.3</v>
      </c>
      <c r="J14" s="4">
        <f>(0.45+0.63)/2</f>
        <v>0.54</v>
      </c>
      <c r="M14">
        <v>200</v>
      </c>
      <c r="N14">
        <f>AVERAGE(E4:E8)</f>
        <v>0.21000000000000002</v>
      </c>
      <c r="O14">
        <f>AVERAGE(F4:F8)</f>
        <v>0.41200000000000003</v>
      </c>
      <c r="P14">
        <f>AVERAGE(G4:G8)</f>
        <v>2.129</v>
      </c>
      <c r="Q14">
        <f>AVERAGE(H4:H8)</f>
        <v>2.21</v>
      </c>
      <c r="R14">
        <f>AVERAGE(I4:I8)</f>
        <v>4.18</v>
      </c>
    </row>
    <row r="15" spans="1:19" x14ac:dyDescent="0.25">
      <c r="D15" t="s">
        <v>10</v>
      </c>
      <c r="E15">
        <f>(1.39+1.5)/2</f>
        <v>1.4449999999999998</v>
      </c>
      <c r="F15">
        <v>1.08</v>
      </c>
      <c r="G15">
        <f>(5.36+5.15)/2</f>
        <v>5.2550000000000008</v>
      </c>
      <c r="H15">
        <v>4.4400000000000004</v>
      </c>
      <c r="I15">
        <f>(3.04+   5.29)/2</f>
        <v>4.165</v>
      </c>
      <c r="J15" s="4">
        <f>(1.39+1.5)/2</f>
        <v>1.4449999999999998</v>
      </c>
    </row>
    <row r="16" spans="1:19" x14ac:dyDescent="0.25">
      <c r="D16" t="s">
        <v>11</v>
      </c>
      <c r="E16">
        <f>(3.2+2.86)/2</f>
        <v>3.0300000000000002</v>
      </c>
      <c r="F16">
        <f>(0.67+1.27)/2</f>
        <v>0.97</v>
      </c>
      <c r="G16">
        <f>(3.16+5.33)/2</f>
        <v>4.2450000000000001</v>
      </c>
      <c r="H16">
        <v>4.1900000000000004</v>
      </c>
      <c r="I16">
        <f>(3.46+   5.78)/2</f>
        <v>4.62</v>
      </c>
      <c r="J16" s="4">
        <f>(3.2+2.86)/2</f>
        <v>3.0300000000000002</v>
      </c>
    </row>
    <row r="17" spans="3:10" x14ac:dyDescent="0.25">
      <c r="D17" t="s">
        <v>12</v>
      </c>
      <c r="E17">
        <f>(3.08+2.95)/2</f>
        <v>3.0150000000000001</v>
      </c>
      <c r="F17">
        <f>(1.22+1)/2</f>
        <v>1.1099999999999999</v>
      </c>
      <c r="G17">
        <f>(6.15+4.08)/2</f>
        <v>5.1150000000000002</v>
      </c>
      <c r="H17">
        <f>(3.32+4.37)/2</f>
        <v>3.8449999999999998</v>
      </c>
      <c r="I17">
        <f>(6+     6)/2</f>
        <v>6</v>
      </c>
      <c r="J17" s="4">
        <f>(3.08+2.95)/2</f>
        <v>3.0150000000000001</v>
      </c>
    </row>
    <row r="18" spans="3:10" x14ac:dyDescent="0.25">
      <c r="D18" t="s">
        <v>14</v>
      </c>
      <c r="E18">
        <f>(0.4+1.45)/2</f>
        <v>0.92500000000000004</v>
      </c>
      <c r="F18">
        <f>(3.12+1.5)/2</f>
        <v>2.31</v>
      </c>
      <c r="G18">
        <f>(2.44+3.2)/2</f>
        <v>2.8200000000000003</v>
      </c>
      <c r="H18">
        <f>(2.36+2.98)/2</f>
        <v>2.67</v>
      </c>
      <c r="I18">
        <f>(4.4+     6.3)/2</f>
        <v>5.35</v>
      </c>
      <c r="J18" s="4">
        <f>(0.4+1.45)/2</f>
        <v>0.92500000000000004</v>
      </c>
    </row>
    <row r="19" spans="3:10" x14ac:dyDescent="0.25">
      <c r="C19" t="s">
        <v>22</v>
      </c>
      <c r="D19" t="s">
        <v>9</v>
      </c>
      <c r="E19">
        <f>(3.15+4.89)/2</f>
        <v>4.0199999999999996</v>
      </c>
      <c r="F19">
        <v>2.68</v>
      </c>
      <c r="G19">
        <f>(4.28+4.33)/2</f>
        <v>4.3049999999999997</v>
      </c>
      <c r="H19">
        <v>5.375</v>
      </c>
      <c r="I19">
        <f>(5+5.26)/2</f>
        <v>5.13</v>
      </c>
      <c r="J19" s="4">
        <f>(3.15+4.89)/2</f>
        <v>4.0199999999999996</v>
      </c>
    </row>
    <row r="20" spans="3:10" x14ac:dyDescent="0.25">
      <c r="D20" t="s">
        <v>10</v>
      </c>
      <c r="E20">
        <f>(2.03+2.08)/2</f>
        <v>2.0549999999999997</v>
      </c>
      <c r="F20">
        <f>(1.7+0.54)/2</f>
        <v>1.1200000000000001</v>
      </c>
      <c r="G20">
        <f>(7.69+6.69)/2</f>
        <v>7.19</v>
      </c>
      <c r="H20">
        <f>(5+4.79)/2</f>
        <v>4.8949999999999996</v>
      </c>
      <c r="I20">
        <f>(4.77+   4.86)/2</f>
        <v>4.8149999999999995</v>
      </c>
      <c r="J20" s="4">
        <f>(2.03+2.08)/2</f>
        <v>2.0549999999999997</v>
      </c>
    </row>
    <row r="21" spans="3:10" x14ac:dyDescent="0.25">
      <c r="D21" t="s">
        <v>11</v>
      </c>
      <c r="E21">
        <f>(3.29+3.31)/2</f>
        <v>3.3</v>
      </c>
      <c r="F21">
        <v>2.79</v>
      </c>
      <c r="G21">
        <f>(2.85+4.71)/2</f>
        <v>3.7800000000000002</v>
      </c>
      <c r="H21">
        <v>4.8849999999999998</v>
      </c>
      <c r="I21">
        <f>(5.55+  4.57)/2</f>
        <v>5.0600000000000005</v>
      </c>
      <c r="J21" s="4">
        <f>(3.29+3.31)/2</f>
        <v>3.3</v>
      </c>
    </row>
    <row r="22" spans="3:10" x14ac:dyDescent="0.25">
      <c r="D22" t="s">
        <v>12</v>
      </c>
      <c r="E22">
        <f>(3.08+2.95)/2</f>
        <v>3.0150000000000001</v>
      </c>
      <c r="F22">
        <v>2.06</v>
      </c>
      <c r="G22">
        <f>(6.2+5.73)/2</f>
        <v>5.9649999999999999</v>
      </c>
      <c r="H22">
        <f>(4.43+4.51)/2</f>
        <v>4.47</v>
      </c>
      <c r="I22">
        <f>(5.56+   6.2)/2</f>
        <v>5.88</v>
      </c>
      <c r="J22" s="4">
        <f>(3.08+2.95)/2</f>
        <v>3.0150000000000001</v>
      </c>
    </row>
    <row r="23" spans="3:10" x14ac:dyDescent="0.25">
      <c r="D23" t="s">
        <v>14</v>
      </c>
      <c r="E23">
        <v>0.22</v>
      </c>
      <c r="F23">
        <v>1.2549999999999999</v>
      </c>
      <c r="G23">
        <f>(3.78+4.02)/2</f>
        <v>3.8999999999999995</v>
      </c>
      <c r="H23">
        <v>6.8849999999999998</v>
      </c>
      <c r="I23">
        <f>(8.9+     4)/2</f>
        <v>6.45</v>
      </c>
      <c r="J23" s="4">
        <v>0.22</v>
      </c>
    </row>
    <row r="24" spans="3:10" x14ac:dyDescent="0.25">
      <c r="C24" t="s">
        <v>23</v>
      </c>
      <c r="D24" t="s">
        <v>9</v>
      </c>
      <c r="E24">
        <f>(3.54+5)/2</f>
        <v>4.2699999999999996</v>
      </c>
      <c r="F24">
        <v>3.056</v>
      </c>
      <c r="G24">
        <f>(5.28+6.05)/2</f>
        <v>5.665</v>
      </c>
      <c r="H24">
        <v>6.88</v>
      </c>
      <c r="I24">
        <f>(5+     6.67)/2</f>
        <v>5.835</v>
      </c>
      <c r="J24" s="4">
        <f>(3.54+5)/2</f>
        <v>4.2699999999999996</v>
      </c>
    </row>
    <row r="25" spans="3:10" x14ac:dyDescent="0.25">
      <c r="D25" t="s">
        <v>10</v>
      </c>
      <c r="E25">
        <f>(2.44+3.83)/2</f>
        <v>3.1349999999999998</v>
      </c>
      <c r="F25">
        <v>3.2850000000000001</v>
      </c>
      <c r="G25">
        <f>(5.14+5.36)/2</f>
        <v>5.25</v>
      </c>
      <c r="H25">
        <v>6.16</v>
      </c>
      <c r="I25">
        <f>(5+  5.64)/2</f>
        <v>5.32</v>
      </c>
      <c r="J25" s="4">
        <f>(2.44+3.83)/2</f>
        <v>3.1349999999999998</v>
      </c>
    </row>
    <row r="26" spans="3:10" x14ac:dyDescent="0.25">
      <c r="D26" t="s">
        <v>11</v>
      </c>
      <c r="E26">
        <f>(2.21+2.4)/2</f>
        <v>2.3049999999999997</v>
      </c>
      <c r="F26">
        <v>4.08</v>
      </c>
      <c r="G26">
        <f>(4.07+3.94)/2</f>
        <v>4.0049999999999999</v>
      </c>
      <c r="H26">
        <v>6.415</v>
      </c>
      <c r="I26">
        <f>(5.29+   8.3)/2</f>
        <v>6.7949999999999999</v>
      </c>
      <c r="J26" s="4">
        <f>(2.21+2.4)/2</f>
        <v>2.3049999999999997</v>
      </c>
    </row>
    <row r="27" spans="3:10" x14ac:dyDescent="0.25">
      <c r="D27" t="s">
        <v>12</v>
      </c>
      <c r="E27">
        <f>(2.66+3.86)/2</f>
        <v>3.26</v>
      </c>
      <c r="F27">
        <v>3.76</v>
      </c>
      <c r="G27">
        <f>(6.17+5.2)/2</f>
        <v>5.6850000000000005</v>
      </c>
      <c r="H27">
        <f>(6.34+5.44)/2</f>
        <v>5.8900000000000006</v>
      </c>
      <c r="I27">
        <f>(5.49+   6.95)/2</f>
        <v>6.2200000000000006</v>
      </c>
      <c r="J27" s="4">
        <f>(2.66+3.86)/2</f>
        <v>3.26</v>
      </c>
    </row>
    <row r="28" spans="3:10" x14ac:dyDescent="0.25">
      <c r="D28" t="s">
        <v>14</v>
      </c>
      <c r="E28">
        <f>(3.35+4.33)/2</f>
        <v>3.84</v>
      </c>
      <c r="F28">
        <f>(4.21+4.52)/2</f>
        <v>4.3650000000000002</v>
      </c>
      <c r="G28">
        <f>(5.67+5.85)/2</f>
        <v>5.76</v>
      </c>
      <c r="H28">
        <v>5.22</v>
      </c>
      <c r="I28">
        <f>(3.83+   6.7)/2</f>
        <v>5.2650000000000006</v>
      </c>
      <c r="J28" s="4">
        <f>(3.35+4.33)/2</f>
        <v>3.84</v>
      </c>
    </row>
    <row r="29" spans="3:10" x14ac:dyDescent="0.25">
      <c r="C29" t="s">
        <v>24</v>
      </c>
      <c r="D29" t="s">
        <v>9</v>
      </c>
      <c r="E29">
        <f t="shared" ref="E29:J29" si="0">(6.68+6.97)/2</f>
        <v>6.8249999999999993</v>
      </c>
      <c r="F29">
        <f t="shared" si="0"/>
        <v>6.8249999999999993</v>
      </c>
      <c r="G29">
        <f t="shared" si="0"/>
        <v>6.8249999999999993</v>
      </c>
      <c r="H29">
        <f t="shared" si="0"/>
        <v>6.8249999999999993</v>
      </c>
      <c r="I29">
        <f>(6.68+6.97)/2</f>
        <v>6.8249999999999993</v>
      </c>
      <c r="J29" s="4">
        <f t="shared" si="0"/>
        <v>6.8249999999999993</v>
      </c>
    </row>
    <row r="30" spans="3:10" x14ac:dyDescent="0.25">
      <c r="D30" t="s">
        <v>10</v>
      </c>
      <c r="E30">
        <f t="shared" ref="E30:J30" si="1">(6.19+6.85)/2</f>
        <v>6.52</v>
      </c>
      <c r="F30">
        <f t="shared" si="1"/>
        <v>6.52</v>
      </c>
      <c r="G30">
        <f t="shared" si="1"/>
        <v>6.52</v>
      </c>
      <c r="H30">
        <f t="shared" si="1"/>
        <v>6.52</v>
      </c>
      <c r="I30">
        <f t="shared" si="1"/>
        <v>6.52</v>
      </c>
      <c r="J30" s="4">
        <f t="shared" si="1"/>
        <v>6.52</v>
      </c>
    </row>
    <row r="31" spans="3:10" x14ac:dyDescent="0.25">
      <c r="D31" t="s">
        <v>11</v>
      </c>
      <c r="E31">
        <f t="shared" ref="E31:J31" si="2">(6.05+7.76)/2</f>
        <v>6.9049999999999994</v>
      </c>
      <c r="F31">
        <f t="shared" si="2"/>
        <v>6.9049999999999994</v>
      </c>
      <c r="G31">
        <f t="shared" si="2"/>
        <v>6.9049999999999994</v>
      </c>
      <c r="H31">
        <f t="shared" si="2"/>
        <v>6.9049999999999994</v>
      </c>
      <c r="I31">
        <f t="shared" si="2"/>
        <v>6.9049999999999994</v>
      </c>
      <c r="J31" s="4">
        <f t="shared" si="2"/>
        <v>6.9049999999999994</v>
      </c>
    </row>
    <row r="32" spans="3:10" x14ac:dyDescent="0.25">
      <c r="D32" t="s">
        <v>12</v>
      </c>
      <c r="E32">
        <f t="shared" ref="E32:J32" si="3">(6.39+7)/2</f>
        <v>6.6950000000000003</v>
      </c>
      <c r="F32">
        <f t="shared" si="3"/>
        <v>6.6950000000000003</v>
      </c>
      <c r="G32">
        <f t="shared" si="3"/>
        <v>6.6950000000000003</v>
      </c>
      <c r="H32">
        <f t="shared" si="3"/>
        <v>6.6950000000000003</v>
      </c>
      <c r="I32">
        <f t="shared" si="3"/>
        <v>6.6950000000000003</v>
      </c>
      <c r="J32" s="4">
        <f t="shared" si="3"/>
        <v>6.6950000000000003</v>
      </c>
    </row>
    <row r="33" spans="4:10" x14ac:dyDescent="0.25">
      <c r="D33" t="s">
        <v>14</v>
      </c>
      <c r="E33">
        <f t="shared" ref="E33:J33" si="4">(8.43+8.94)/2</f>
        <v>8.6849999999999987</v>
      </c>
      <c r="F33">
        <f t="shared" si="4"/>
        <v>8.6849999999999987</v>
      </c>
      <c r="G33">
        <f t="shared" si="4"/>
        <v>8.6849999999999987</v>
      </c>
      <c r="H33">
        <f t="shared" si="4"/>
        <v>8.6849999999999987</v>
      </c>
      <c r="I33">
        <f t="shared" si="4"/>
        <v>8.6849999999999987</v>
      </c>
      <c r="J33" s="4">
        <f t="shared" si="4"/>
        <v>8.6849999999999987</v>
      </c>
    </row>
    <row r="34" spans="4:10" x14ac:dyDescent="0.25">
      <c r="J34" s="4">
        <v>0</v>
      </c>
    </row>
    <row r="35" spans="4:10" x14ac:dyDescent="0.25">
      <c r="J35" s="4">
        <v>0</v>
      </c>
    </row>
    <row r="36" spans="4:10" x14ac:dyDescent="0.25">
      <c r="J36" s="4">
        <v>0</v>
      </c>
    </row>
    <row r="37" spans="4:10" x14ac:dyDescent="0.25">
      <c r="J37" s="4">
        <f>(2.53+1.59)/2</f>
        <v>2.06</v>
      </c>
    </row>
    <row r="38" spans="4:10" x14ac:dyDescent="0.25">
      <c r="J38" s="4">
        <v>0</v>
      </c>
    </row>
    <row r="39" spans="4:10" x14ac:dyDescent="0.25">
      <c r="J39" s="4">
        <v>0</v>
      </c>
    </row>
    <row r="40" spans="4:10" x14ac:dyDescent="0.25">
      <c r="J40" s="4">
        <v>0</v>
      </c>
    </row>
    <row r="41" spans="4:10" x14ac:dyDescent="0.25">
      <c r="J41" s="4">
        <v>0</v>
      </c>
    </row>
    <row r="42" spans="4:10" x14ac:dyDescent="0.25">
      <c r="J42" s="4">
        <v>0</v>
      </c>
    </row>
    <row r="43" spans="4:10" x14ac:dyDescent="0.25">
      <c r="J43" s="4">
        <f>(2.82+1.31)/2</f>
        <v>2.0649999999999999</v>
      </c>
    </row>
    <row r="44" spans="4:10" x14ac:dyDescent="0.25">
      <c r="J44" s="4">
        <v>1.46</v>
      </c>
    </row>
    <row r="45" spans="4:10" x14ac:dyDescent="0.25">
      <c r="J45" s="4">
        <v>1.08</v>
      </c>
    </row>
    <row r="46" spans="4:10" x14ac:dyDescent="0.25">
      <c r="J46" s="4">
        <f>(0.67+1.27)/2</f>
        <v>0.97</v>
      </c>
    </row>
    <row r="47" spans="4:10" x14ac:dyDescent="0.25">
      <c r="J47" s="4">
        <f>(1.22+1)/2</f>
        <v>1.1099999999999999</v>
      </c>
    </row>
    <row r="48" spans="4:10" x14ac:dyDescent="0.25">
      <c r="J48" s="4">
        <f>(3.12+1.5)/2</f>
        <v>2.31</v>
      </c>
    </row>
    <row r="49" spans="10:10" x14ac:dyDescent="0.25">
      <c r="J49" s="4">
        <v>2.68</v>
      </c>
    </row>
    <row r="50" spans="10:10" x14ac:dyDescent="0.25">
      <c r="J50" s="4">
        <f>(1.7+0.54)/2</f>
        <v>1.1200000000000001</v>
      </c>
    </row>
    <row r="51" spans="10:10" x14ac:dyDescent="0.25">
      <c r="J51" s="4">
        <v>2.79</v>
      </c>
    </row>
    <row r="52" spans="10:10" x14ac:dyDescent="0.25">
      <c r="J52" s="4">
        <v>2.06</v>
      </c>
    </row>
    <row r="53" spans="10:10" x14ac:dyDescent="0.25">
      <c r="J53" s="4">
        <v>1.2549999999999999</v>
      </c>
    </row>
    <row r="54" spans="10:10" x14ac:dyDescent="0.25">
      <c r="J54" s="4">
        <v>3.056</v>
      </c>
    </row>
    <row r="55" spans="10:10" x14ac:dyDescent="0.25">
      <c r="J55" s="4">
        <v>3.2850000000000001</v>
      </c>
    </row>
    <row r="56" spans="10:10" x14ac:dyDescent="0.25">
      <c r="J56" s="4">
        <v>4.08</v>
      </c>
    </row>
    <row r="57" spans="10:10" x14ac:dyDescent="0.25">
      <c r="J57" s="4">
        <v>3.76</v>
      </c>
    </row>
    <row r="58" spans="10:10" x14ac:dyDescent="0.25">
      <c r="J58" s="4">
        <f>(4.21+4.52)/2</f>
        <v>4.3650000000000002</v>
      </c>
    </row>
    <row r="59" spans="10:10" x14ac:dyDescent="0.25">
      <c r="J59" s="4">
        <f>(6.68+6.97)/2</f>
        <v>6.8249999999999993</v>
      </c>
    </row>
    <row r="60" spans="10:10" x14ac:dyDescent="0.25">
      <c r="J60" s="4">
        <f>(6.19+6.85)/2</f>
        <v>6.52</v>
      </c>
    </row>
    <row r="61" spans="10:10" x14ac:dyDescent="0.25">
      <c r="J61" s="4">
        <f>(6.05+7.76)/2</f>
        <v>6.9049999999999994</v>
      </c>
    </row>
    <row r="62" spans="10:10" x14ac:dyDescent="0.25">
      <c r="J62" s="4">
        <f>(6.39+7)/2</f>
        <v>6.6950000000000003</v>
      </c>
    </row>
    <row r="63" spans="10:10" x14ac:dyDescent="0.25">
      <c r="J63" s="4">
        <f>(8.43+8.94)/2</f>
        <v>8.6849999999999987</v>
      </c>
    </row>
    <row r="64" spans="10:10" x14ac:dyDescent="0.25">
      <c r="J64" s="4">
        <f>(1.69+2.88)/2</f>
        <v>2.2850000000000001</v>
      </c>
    </row>
    <row r="65" spans="10:10" x14ac:dyDescent="0.25">
      <c r="J65" s="4">
        <f>(3.78+2.36)/2</f>
        <v>3.07</v>
      </c>
    </row>
    <row r="66" spans="10:10" x14ac:dyDescent="0.25">
      <c r="J66" s="4">
        <f>(1.59+1.58)/2</f>
        <v>1.585</v>
      </c>
    </row>
    <row r="67" spans="10:10" x14ac:dyDescent="0.25">
      <c r="J67" s="4">
        <f>(2.89+2.34)/2</f>
        <v>2.6150000000000002</v>
      </c>
    </row>
    <row r="68" spans="10:10" x14ac:dyDescent="0.25">
      <c r="J68" s="4">
        <f>(1.17+1.01)/2</f>
        <v>1.0899999999999999</v>
      </c>
    </row>
    <row r="69" spans="10:10" x14ac:dyDescent="0.25">
      <c r="J69" s="4">
        <f>(4.48+3.41)/2</f>
        <v>3.9450000000000003</v>
      </c>
    </row>
    <row r="70" spans="10:10" x14ac:dyDescent="0.25">
      <c r="J70" s="4">
        <f>(3.58+2.85)/2</f>
        <v>3.2149999999999999</v>
      </c>
    </row>
    <row r="71" spans="10:10" x14ac:dyDescent="0.25">
      <c r="J71" s="4">
        <f>(3.81+4.73)/2</f>
        <v>4.2700000000000005</v>
      </c>
    </row>
    <row r="72" spans="10:10" x14ac:dyDescent="0.25">
      <c r="J72" s="4">
        <f>(3.12+3.01)/2</f>
        <v>3.0649999999999999</v>
      </c>
    </row>
    <row r="73" spans="10:10" x14ac:dyDescent="0.25">
      <c r="J73" s="4">
        <f>(2.14+3.97)/2</f>
        <v>3.0550000000000002</v>
      </c>
    </row>
    <row r="74" spans="10:10" x14ac:dyDescent="0.25">
      <c r="J74" s="4">
        <f>(5.9+2.52)/2</f>
        <v>4.21</v>
      </c>
    </row>
    <row r="75" spans="10:10" x14ac:dyDescent="0.25">
      <c r="J75" s="4">
        <f>(5.36+5.15)/2</f>
        <v>5.2550000000000008</v>
      </c>
    </row>
    <row r="76" spans="10:10" x14ac:dyDescent="0.25">
      <c r="J76" s="4">
        <f>(3.16+5.33)/2</f>
        <v>4.2450000000000001</v>
      </c>
    </row>
    <row r="77" spans="10:10" x14ac:dyDescent="0.25">
      <c r="J77" s="4">
        <f>(6.15+4.08)/2</f>
        <v>5.1150000000000002</v>
      </c>
    </row>
    <row r="78" spans="10:10" x14ac:dyDescent="0.25">
      <c r="J78" s="4">
        <f>(2.44+3.2)/2</f>
        <v>2.8200000000000003</v>
      </c>
    </row>
    <row r="79" spans="10:10" x14ac:dyDescent="0.25">
      <c r="J79" s="4">
        <f>(4.28+4.33)/2</f>
        <v>4.3049999999999997</v>
      </c>
    </row>
    <row r="80" spans="10:10" x14ac:dyDescent="0.25">
      <c r="J80" s="4">
        <f>(7.69+6.69)/2</f>
        <v>7.19</v>
      </c>
    </row>
    <row r="81" spans="10:10" x14ac:dyDescent="0.25">
      <c r="J81" s="4">
        <f>(2.85+4.71)/2</f>
        <v>3.7800000000000002</v>
      </c>
    </row>
    <row r="82" spans="10:10" x14ac:dyDescent="0.25">
      <c r="J82" s="4">
        <f>(6.2+5.73)/2</f>
        <v>5.9649999999999999</v>
      </c>
    </row>
    <row r="83" spans="10:10" x14ac:dyDescent="0.25">
      <c r="J83" s="4">
        <f>(3.78+4.02)/2</f>
        <v>3.8999999999999995</v>
      </c>
    </row>
    <row r="84" spans="10:10" x14ac:dyDescent="0.25">
      <c r="J84" s="4">
        <f>(5.28+6.05)/2</f>
        <v>5.665</v>
      </c>
    </row>
    <row r="85" spans="10:10" x14ac:dyDescent="0.25">
      <c r="J85" s="4">
        <f>(5.14+5.36)/2</f>
        <v>5.25</v>
      </c>
    </row>
    <row r="86" spans="10:10" x14ac:dyDescent="0.25">
      <c r="J86" s="4">
        <f>(4.07+3.94)/2</f>
        <v>4.0049999999999999</v>
      </c>
    </row>
    <row r="87" spans="10:10" x14ac:dyDescent="0.25">
      <c r="J87" s="4">
        <f>(6.17+5.2)/2</f>
        <v>5.6850000000000005</v>
      </c>
    </row>
    <row r="88" spans="10:10" x14ac:dyDescent="0.25">
      <c r="J88" s="4">
        <f>(5.67+5.85)/2</f>
        <v>5.76</v>
      </c>
    </row>
    <row r="89" spans="10:10" x14ac:dyDescent="0.25">
      <c r="J89" s="4">
        <f>(6.68+6.97)/2</f>
        <v>6.8249999999999993</v>
      </c>
    </row>
    <row r="90" spans="10:10" x14ac:dyDescent="0.25">
      <c r="J90" s="4">
        <f>(6.19+6.85)/2</f>
        <v>6.52</v>
      </c>
    </row>
    <row r="91" spans="10:10" x14ac:dyDescent="0.25">
      <c r="J91" s="4">
        <f>(6.05+7.76)/2</f>
        <v>6.9049999999999994</v>
      </c>
    </row>
    <row r="92" spans="10:10" x14ac:dyDescent="0.25">
      <c r="J92" s="4">
        <f>(6.39+7)/2</f>
        <v>6.6950000000000003</v>
      </c>
    </row>
    <row r="93" spans="10:10" x14ac:dyDescent="0.25">
      <c r="J93" s="4">
        <f>(8.43+8.94)/2</f>
        <v>8.6849999999999987</v>
      </c>
    </row>
    <row r="94" spans="10:10" x14ac:dyDescent="0.25">
      <c r="J94" s="4">
        <f>(2.85+2.41)/2</f>
        <v>2.63</v>
      </c>
    </row>
    <row r="95" spans="10:10" x14ac:dyDescent="0.25">
      <c r="J95" s="4">
        <v>2.25</v>
      </c>
    </row>
    <row r="96" spans="10:10" x14ac:dyDescent="0.25">
      <c r="J96" s="4">
        <f>(2.05+2.17)/2</f>
        <v>2.11</v>
      </c>
    </row>
    <row r="97" spans="10:10" x14ac:dyDescent="0.25">
      <c r="J97" s="4">
        <f>(2.29+2.47)/2</f>
        <v>2.38</v>
      </c>
    </row>
    <row r="98" spans="10:10" x14ac:dyDescent="0.25">
      <c r="J98" s="4">
        <f>(1.96+1.4)/2</f>
        <v>1.68</v>
      </c>
    </row>
    <row r="99" spans="10:10" x14ac:dyDescent="0.25">
      <c r="J99" s="4">
        <f>(2.29+3.12)/2</f>
        <v>2.7050000000000001</v>
      </c>
    </row>
    <row r="100" spans="10:10" x14ac:dyDescent="0.25">
      <c r="J100" s="4">
        <f>(2.9+3.77)/2</f>
        <v>3.335</v>
      </c>
    </row>
    <row r="101" spans="10:10" x14ac:dyDescent="0.25">
      <c r="J101" s="4">
        <f>(2.3+2.71)/2</f>
        <v>2.5049999999999999</v>
      </c>
    </row>
    <row r="102" spans="10:10" x14ac:dyDescent="0.25">
      <c r="J102" s="4">
        <f>(2.01+2.69)/2</f>
        <v>2.3499999999999996</v>
      </c>
    </row>
    <row r="103" spans="10:10" x14ac:dyDescent="0.25">
      <c r="J103" s="4">
        <f>(2.39+3.79)/2</f>
        <v>3.09</v>
      </c>
    </row>
    <row r="104" spans="10:10" x14ac:dyDescent="0.25">
      <c r="J104" s="4">
        <f>(4.39+5.45)/2</f>
        <v>4.92</v>
      </c>
    </row>
    <row r="105" spans="10:10" x14ac:dyDescent="0.25">
      <c r="J105" s="4">
        <v>4.4400000000000004</v>
      </c>
    </row>
    <row r="106" spans="10:10" x14ac:dyDescent="0.25">
      <c r="J106" s="4">
        <v>4.1900000000000004</v>
      </c>
    </row>
    <row r="107" spans="10:10" x14ac:dyDescent="0.25">
      <c r="J107" s="4">
        <f>(3.32+4.37)/2</f>
        <v>3.8449999999999998</v>
      </c>
    </row>
    <row r="108" spans="10:10" x14ac:dyDescent="0.25">
      <c r="J108" s="4">
        <f>(2.36+2.98)/2</f>
        <v>2.67</v>
      </c>
    </row>
    <row r="109" spans="10:10" x14ac:dyDescent="0.25">
      <c r="J109" s="4">
        <v>5.375</v>
      </c>
    </row>
    <row r="110" spans="10:10" x14ac:dyDescent="0.25">
      <c r="J110" s="4">
        <f>(5+4.79)/2</f>
        <v>4.8949999999999996</v>
      </c>
    </row>
    <row r="111" spans="10:10" x14ac:dyDescent="0.25">
      <c r="J111" s="4">
        <v>4.8849999999999998</v>
      </c>
    </row>
    <row r="112" spans="10:10" x14ac:dyDescent="0.25">
      <c r="J112" s="4">
        <f>(4.43+4.51)/2</f>
        <v>4.47</v>
      </c>
    </row>
    <row r="113" spans="10:10" x14ac:dyDescent="0.25">
      <c r="J113" s="4">
        <v>6.8849999999999998</v>
      </c>
    </row>
    <row r="114" spans="10:10" x14ac:dyDescent="0.25">
      <c r="J114" s="4">
        <v>6.88</v>
      </c>
    </row>
    <row r="115" spans="10:10" x14ac:dyDescent="0.25">
      <c r="J115" s="4">
        <v>6.16</v>
      </c>
    </row>
    <row r="116" spans="10:10" x14ac:dyDescent="0.25">
      <c r="J116" s="4">
        <v>6.415</v>
      </c>
    </row>
    <row r="117" spans="10:10" x14ac:dyDescent="0.25">
      <c r="J117" s="4">
        <f>(6.34+5.44)/2</f>
        <v>5.8900000000000006</v>
      </c>
    </row>
    <row r="118" spans="10:10" x14ac:dyDescent="0.25">
      <c r="J118" s="4">
        <v>5.22</v>
      </c>
    </row>
    <row r="119" spans="10:10" x14ac:dyDescent="0.25">
      <c r="J119" s="4">
        <f>(6.68+6.97)/2</f>
        <v>6.8249999999999993</v>
      </c>
    </row>
    <row r="120" spans="10:10" x14ac:dyDescent="0.25">
      <c r="J120" s="4">
        <f>(6.19+6.85)/2</f>
        <v>6.52</v>
      </c>
    </row>
    <row r="121" spans="10:10" x14ac:dyDescent="0.25">
      <c r="J121" s="4">
        <f>(6.05+7.76)/2</f>
        <v>6.9049999999999994</v>
      </c>
    </row>
    <row r="122" spans="10:10" x14ac:dyDescent="0.25">
      <c r="J122" s="4">
        <f>(6.39+7)/2</f>
        <v>6.6950000000000003</v>
      </c>
    </row>
    <row r="123" spans="10:10" x14ac:dyDescent="0.25">
      <c r="J123" s="4">
        <f>(8.43+8.94)/2</f>
        <v>8.6849999999999987</v>
      </c>
    </row>
    <row r="124" spans="10:10" x14ac:dyDescent="0.25">
      <c r="J124" s="4">
        <f>(2.79+   2.24)/2</f>
        <v>2.5150000000000001</v>
      </c>
    </row>
    <row r="125" spans="10:10" x14ac:dyDescent="0.25">
      <c r="J125" s="4">
        <f>(0.59+   0.52)/2</f>
        <v>0.55499999999999994</v>
      </c>
    </row>
    <row r="126" spans="10:10" x14ac:dyDescent="0.25">
      <c r="J126" s="4">
        <f>(2.13+   1.3)/2</f>
        <v>1.7149999999999999</v>
      </c>
    </row>
    <row r="127" spans="10:10" x14ac:dyDescent="0.25">
      <c r="J127" s="4">
        <f>(2.85+   4.33)/2</f>
        <v>3.59</v>
      </c>
    </row>
    <row r="128" spans="10:10" x14ac:dyDescent="0.25">
      <c r="J128" s="4">
        <f>(2.58+   5.47)/2</f>
        <v>4.0250000000000004</v>
      </c>
    </row>
    <row r="129" spans="10:10" x14ac:dyDescent="0.25">
      <c r="J129" s="4">
        <f>(2.6+   4.94)/2</f>
        <v>3.7700000000000005</v>
      </c>
    </row>
    <row r="130" spans="10:10" x14ac:dyDescent="0.25">
      <c r="J130" s="4">
        <f>(1.82+   5.18)/2</f>
        <v>3.5</v>
      </c>
    </row>
    <row r="131" spans="10:10" x14ac:dyDescent="0.25">
      <c r="J131" s="4">
        <f>(2.24+   4.15)/2</f>
        <v>3.1950000000000003</v>
      </c>
    </row>
    <row r="132" spans="10:10" x14ac:dyDescent="0.25">
      <c r="J132" s="4">
        <f>(5.53+   6.16)/2</f>
        <v>5.8450000000000006</v>
      </c>
    </row>
    <row r="133" spans="10:10" x14ac:dyDescent="0.25">
      <c r="J133" s="4">
        <f>(5.39+   4.1)/2</f>
        <v>4.7449999999999992</v>
      </c>
    </row>
    <row r="134" spans="10:10" x14ac:dyDescent="0.25">
      <c r="J134" s="4">
        <f>(6+     6.6)/2</f>
        <v>6.3</v>
      </c>
    </row>
    <row r="135" spans="10:10" x14ac:dyDescent="0.25">
      <c r="J135" s="4">
        <f>(3.04+   5.29)/2</f>
        <v>4.165</v>
      </c>
    </row>
    <row r="136" spans="10:10" x14ac:dyDescent="0.25">
      <c r="J136" s="4">
        <f>(3.46+   5.78)/2</f>
        <v>4.62</v>
      </c>
    </row>
    <row r="137" spans="10:10" x14ac:dyDescent="0.25">
      <c r="J137" s="4">
        <f>(6+     6)/2</f>
        <v>6</v>
      </c>
    </row>
    <row r="138" spans="10:10" x14ac:dyDescent="0.25">
      <c r="J138" s="4">
        <f>(4.4+     6.3)/2</f>
        <v>5.35</v>
      </c>
    </row>
    <row r="139" spans="10:10" x14ac:dyDescent="0.25">
      <c r="J139" s="4">
        <f>(4+5.26)/2</f>
        <v>4.63</v>
      </c>
    </row>
    <row r="140" spans="10:10" x14ac:dyDescent="0.25">
      <c r="J140" s="4">
        <f>(4.77+   3.86)/2</f>
        <v>4.3149999999999995</v>
      </c>
    </row>
    <row r="141" spans="10:10" x14ac:dyDescent="0.25">
      <c r="J141" s="4">
        <f>(4.55+   3.57)/2</f>
        <v>4.0599999999999996</v>
      </c>
    </row>
    <row r="142" spans="10:10" x14ac:dyDescent="0.25">
      <c r="J142" s="4">
        <f>(5.56+   6.2)/2</f>
        <v>5.88</v>
      </c>
    </row>
    <row r="143" spans="10:10" x14ac:dyDescent="0.25">
      <c r="J143" s="4">
        <f>(8.9+     4)/2</f>
        <v>6.45</v>
      </c>
    </row>
    <row r="144" spans="10:10" x14ac:dyDescent="0.25">
      <c r="J144" s="4">
        <f>(3+     6.67)/2</f>
        <v>4.835</v>
      </c>
    </row>
    <row r="145" spans="10:10" x14ac:dyDescent="0.25">
      <c r="J145" s="4">
        <f>(4+     2.64)/2</f>
        <v>3.3200000000000003</v>
      </c>
    </row>
    <row r="146" spans="10:10" x14ac:dyDescent="0.25">
      <c r="J146" s="4">
        <f>(5.29+   8.3)/2</f>
        <v>6.7949999999999999</v>
      </c>
    </row>
    <row r="147" spans="10:10" x14ac:dyDescent="0.25">
      <c r="J147" s="4">
        <f>(5.49+   3.95)/2</f>
        <v>4.7200000000000006</v>
      </c>
    </row>
    <row r="148" spans="10:10" x14ac:dyDescent="0.25">
      <c r="J148" s="4">
        <f>(3.83+   4.7)/2</f>
        <v>4.2650000000000006</v>
      </c>
    </row>
    <row r="149" spans="10:10" x14ac:dyDescent="0.25">
      <c r="J149" s="4">
        <f>(6.68+6.97)/2</f>
        <v>6.8249999999999993</v>
      </c>
    </row>
    <row r="150" spans="10:10" x14ac:dyDescent="0.25">
      <c r="J150" s="4">
        <f>(6.19+6.85)/2</f>
        <v>6.52</v>
      </c>
    </row>
    <row r="151" spans="10:10" x14ac:dyDescent="0.25">
      <c r="J151" s="4">
        <f>(6.05+7.76)/2</f>
        <v>6.9049999999999994</v>
      </c>
    </row>
    <row r="152" spans="10:10" x14ac:dyDescent="0.25">
      <c r="J152" s="4">
        <f>(6.39+7)/2</f>
        <v>6.6950000000000003</v>
      </c>
    </row>
    <row r="153" spans="10:10" x14ac:dyDescent="0.25">
      <c r="J153" s="4">
        <f>(8.43+8.94)/2</f>
        <v>8.6849999999999987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DC34-1B4D-43E3-B700-59110F276CC4}">
  <dimension ref="A1:Q153"/>
  <sheetViews>
    <sheetView topLeftCell="B4" workbookViewId="0">
      <selection activeCell="Q17" sqref="Q17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6.7109375" bestFit="1" customWidth="1"/>
    <col min="12" max="12" width="6.28515625" bestFit="1" customWidth="1"/>
    <col min="13" max="16" width="7.28515625" bestFit="1" customWidth="1"/>
  </cols>
  <sheetData>
    <row r="1" spans="1:17" x14ac:dyDescent="0.25">
      <c r="A1" s="1" t="s">
        <v>25</v>
      </c>
      <c r="B1" s="1" t="s">
        <v>27</v>
      </c>
      <c r="C1" s="1" t="s">
        <v>2</v>
      </c>
    </row>
    <row r="2" spans="1:17" x14ac:dyDescent="0.25">
      <c r="B2">
        <v>2</v>
      </c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17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28</v>
      </c>
    </row>
    <row r="4" spans="1:17" x14ac:dyDescent="0.25">
      <c r="C4" t="s">
        <v>8</v>
      </c>
      <c r="D4" t="s">
        <v>9</v>
      </c>
      <c r="E4">
        <f>(1.35+1.51)/2</f>
        <v>1.4300000000000002</v>
      </c>
      <c r="F4">
        <f>(0.6+0.96)/2</f>
        <v>0.78</v>
      </c>
      <c r="G4">
        <f>(1.67+1.48)/2</f>
        <v>1.575</v>
      </c>
      <c r="H4">
        <f>(0.95+0.94)/2</f>
        <v>0.94499999999999995</v>
      </c>
      <c r="I4">
        <f>(6.68+  3.71)/2</f>
        <v>5.1950000000000003</v>
      </c>
      <c r="J4">
        <v>1.4300000000000002</v>
      </c>
    </row>
    <row r="5" spans="1:17" x14ac:dyDescent="0.25">
      <c r="D5" t="s">
        <v>10</v>
      </c>
      <c r="E5">
        <f>(0.64+0.91)/2</f>
        <v>0.77500000000000002</v>
      </c>
      <c r="F5">
        <v>0.93</v>
      </c>
      <c r="G5">
        <f>(1.4+1.33)/2</f>
        <v>1.365</v>
      </c>
      <c r="H5">
        <f>(2.73+2.4)/2</f>
        <v>2.5649999999999999</v>
      </c>
      <c r="I5">
        <f>(5.92+  4.59)/2</f>
        <v>5.2549999999999999</v>
      </c>
      <c r="J5">
        <v>0.77500000000000002</v>
      </c>
      <c r="L5" t="s">
        <v>13</v>
      </c>
    </row>
    <row r="6" spans="1:17" x14ac:dyDescent="0.25">
      <c r="D6" t="s">
        <v>11</v>
      </c>
      <c r="E6">
        <f>(1.37+0.94)/2</f>
        <v>1.155</v>
      </c>
      <c r="F6">
        <v>0.85</v>
      </c>
      <c r="G6">
        <f>(0.88+1.41)/2</f>
        <v>1.145</v>
      </c>
      <c r="H6">
        <f>(0.99+1.94)/2</f>
        <v>1.4649999999999999</v>
      </c>
      <c r="I6">
        <f>(7.45+  4.32)/2</f>
        <v>5.8849999999999998</v>
      </c>
      <c r="J6">
        <v>1.155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</row>
    <row r="7" spans="1:17" x14ac:dyDescent="0.25">
      <c r="D7" t="s">
        <v>12</v>
      </c>
      <c r="E7">
        <f>(0.42+0.52)/2</f>
        <v>0.47</v>
      </c>
      <c r="F7">
        <v>1.04</v>
      </c>
      <c r="G7">
        <f>(1.31+0.96)/2</f>
        <v>1.135</v>
      </c>
      <c r="H7">
        <f>(0.78+0.92)/2</f>
        <v>0.85000000000000009</v>
      </c>
      <c r="I7">
        <f>(6.32+  4.37)/2</f>
        <v>5.3450000000000006</v>
      </c>
      <c r="J7">
        <v>0.47</v>
      </c>
      <c r="L7">
        <v>0</v>
      </c>
      <c r="M7">
        <f>AVERAGE(E29:E33)</f>
        <v>7.1259999999999994</v>
      </c>
      <c r="N7">
        <f>AVERAGE(F29:F33)</f>
        <v>7.1259999999999994</v>
      </c>
      <c r="O7">
        <f>AVERAGE(G29:G33)</f>
        <v>7.1259999999999994</v>
      </c>
      <c r="P7">
        <f>AVERAGE(H29:H33)</f>
        <v>7.1259999999999994</v>
      </c>
      <c r="Q7">
        <f>AVERAGE(I29:I33)</f>
        <v>7.1259999999999994</v>
      </c>
    </row>
    <row r="8" spans="1:17" x14ac:dyDescent="0.25">
      <c r="D8" t="s">
        <v>14</v>
      </c>
      <c r="E8">
        <f>(0.31+0.59)/2</f>
        <v>0.44999999999999996</v>
      </c>
      <c r="F8">
        <f>(1.14+1.03)/2</f>
        <v>1.085</v>
      </c>
      <c r="G8">
        <f>(0.88+0.53)/2</f>
        <v>0.70500000000000007</v>
      </c>
      <c r="H8">
        <f>(1.87+1.52)/2</f>
        <v>1.6950000000000001</v>
      </c>
      <c r="I8">
        <f>(3.72+  3.73)/2</f>
        <v>3.7250000000000001</v>
      </c>
      <c r="J8">
        <v>0.44999999999999996</v>
      </c>
      <c r="L8">
        <v>75</v>
      </c>
      <c r="M8">
        <f>AVERAGE(E24:E28)</f>
        <v>4.5340000000000007</v>
      </c>
      <c r="N8">
        <f>AVERAGE(F24:F28)</f>
        <v>6.7730000000000006</v>
      </c>
      <c r="O8">
        <f>AVERAGE(G24:G28)</f>
        <v>4.7350000000000003</v>
      </c>
      <c r="P8">
        <f>AVERAGE(H24:H28)</f>
        <v>5.2990000000000004</v>
      </c>
      <c r="Q8">
        <f>AVERAGE(I24:I28)</f>
        <v>5.8869999999999996</v>
      </c>
    </row>
    <row r="9" spans="1:17" x14ac:dyDescent="0.25">
      <c r="C9" t="s">
        <v>20</v>
      </c>
      <c r="D9" t="s">
        <v>9</v>
      </c>
      <c r="E9">
        <f>(0.33+0.66)/2</f>
        <v>0.495</v>
      </c>
      <c r="F9">
        <f>(0.51+0.53)/2</f>
        <v>0.52</v>
      </c>
      <c r="G9">
        <f>(2.07+3.88)/2</f>
        <v>2.9749999999999996</v>
      </c>
      <c r="H9">
        <v>2.77</v>
      </c>
      <c r="I9">
        <f>(5.23+ 4.17)/2</f>
        <v>4.7</v>
      </c>
      <c r="J9">
        <v>0.495</v>
      </c>
      <c r="L9">
        <v>150</v>
      </c>
      <c r="M9">
        <f>AVERAGE(E19:E23)</f>
        <v>3.63</v>
      </c>
      <c r="N9">
        <f>AVERAGE(F19:F23)</f>
        <v>5.5549999999999997</v>
      </c>
      <c r="O9">
        <f>AVERAGE(G19:G23)</f>
        <v>4.3679999999999994</v>
      </c>
      <c r="P9">
        <f>AVERAGE(H19:H23)</f>
        <v>4.8</v>
      </c>
      <c r="Q9">
        <f>AVERAGE(I19:I23)</f>
        <v>5.8</v>
      </c>
    </row>
    <row r="10" spans="1:17" x14ac:dyDescent="0.25">
      <c r="D10" t="s">
        <v>10</v>
      </c>
      <c r="E10">
        <f>(0.33+0.48)/2</f>
        <v>0.40500000000000003</v>
      </c>
      <c r="F10">
        <f>(3.18+0.94)/2</f>
        <v>2.06</v>
      </c>
      <c r="G10">
        <f>(3.46+2.98)/2</f>
        <v>3.2199999999999998</v>
      </c>
      <c r="H10">
        <f>(2.75+3.71)/2</f>
        <v>3.23</v>
      </c>
      <c r="I10">
        <f>(5.69+  4.81)/2</f>
        <v>5.25</v>
      </c>
      <c r="J10">
        <v>0.40500000000000003</v>
      </c>
      <c r="L10">
        <v>300</v>
      </c>
      <c r="M10">
        <f>AVERAGE(E14:E18)</f>
        <v>2.1259999999999999</v>
      </c>
      <c r="N10">
        <f>AVERAGE(F14:F18)</f>
        <v>2.1387999999999998</v>
      </c>
      <c r="O10">
        <f>AVERAGE(G14:G18)</f>
        <v>2.7490000000000001</v>
      </c>
      <c r="P10">
        <f>AVERAGE(H14:H18)</f>
        <v>4.298</v>
      </c>
      <c r="Q10">
        <f>AVERAGE(I14:I18)</f>
        <v>5.7690000000000001</v>
      </c>
    </row>
    <row r="11" spans="1:17" x14ac:dyDescent="0.25">
      <c r="D11" t="s">
        <v>11</v>
      </c>
      <c r="E11">
        <f>(0.25+0.44)/2</f>
        <v>0.34499999999999997</v>
      </c>
      <c r="F11">
        <f>(0.76+0.91)/2</f>
        <v>0.83499999999999996</v>
      </c>
      <c r="G11">
        <f>(2.11+3.49)/2</f>
        <v>2.8</v>
      </c>
      <c r="H11">
        <f>(2.59+2.45)/2</f>
        <v>2.52</v>
      </c>
      <c r="I11">
        <f>(6.47+  7.05)/2</f>
        <v>6.76</v>
      </c>
      <c r="J11">
        <v>0.34499999999999997</v>
      </c>
      <c r="L11">
        <v>600</v>
      </c>
      <c r="M11">
        <f>AVERAGE(E9:E13)</f>
        <v>0.73199999999999998</v>
      </c>
      <c r="N11">
        <f>AVERAGE(F9:F13)</f>
        <v>1.4410000000000001</v>
      </c>
      <c r="O11">
        <f>AVERAGE(G9:G13)</f>
        <v>2.5409999999999995</v>
      </c>
      <c r="P11">
        <f>AVERAGE(H9:H13)</f>
        <v>2.7635999999999994</v>
      </c>
      <c r="Q11">
        <f>AVERAGE(I9:I13)</f>
        <v>5.6209999999999996</v>
      </c>
    </row>
    <row r="12" spans="1:17" x14ac:dyDescent="0.25">
      <c r="D12" t="s">
        <v>12</v>
      </c>
      <c r="E12">
        <f>(1.33+1.23)/2</f>
        <v>1.28</v>
      </c>
      <c r="F12">
        <f>(2.46+2.24)/2</f>
        <v>2.35</v>
      </c>
      <c r="G12">
        <f>(2.2+2.12)/2</f>
        <v>2.16</v>
      </c>
      <c r="H12">
        <f>(1.5+2.13)/2</f>
        <v>1.8149999999999999</v>
      </c>
      <c r="I12">
        <f>(4.15+  7.12)/2</f>
        <v>5.6349999999999998</v>
      </c>
      <c r="J12">
        <v>1.28</v>
      </c>
      <c r="L12">
        <v>1200</v>
      </c>
      <c r="M12">
        <f>AVERAGE(E4:E8)</f>
        <v>0.85600000000000009</v>
      </c>
      <c r="N12">
        <f>AVERAGE(F4:F8)</f>
        <v>0.93700000000000006</v>
      </c>
      <c r="O12">
        <f>AVERAGE(G4:G8)</f>
        <v>1.1850000000000001</v>
      </c>
      <c r="P12">
        <f>AVERAGE(H4:H8)</f>
        <v>1.504</v>
      </c>
      <c r="Q12">
        <f>AVERAGE(I4:I8)</f>
        <v>5.0810000000000004</v>
      </c>
    </row>
    <row r="13" spans="1:17" x14ac:dyDescent="0.25">
      <c r="D13" t="s">
        <v>14</v>
      </c>
      <c r="E13">
        <f>(1.31+0.96)/2</f>
        <v>1.135</v>
      </c>
      <c r="F13">
        <v>1.44</v>
      </c>
      <c r="G13">
        <f>(1.39+1.71)/2</f>
        <v>1.5499999999999998</v>
      </c>
      <c r="H13">
        <f>(3.8+3.166)/2</f>
        <v>3.4829999999999997</v>
      </c>
      <c r="I13">
        <f>(5.41+  6.11)/2</f>
        <v>5.76</v>
      </c>
      <c r="J13">
        <v>1.135</v>
      </c>
    </row>
    <row r="14" spans="1:17" x14ac:dyDescent="0.25">
      <c r="C14" t="s">
        <v>21</v>
      </c>
      <c r="D14" t="s">
        <v>9</v>
      </c>
      <c r="E14">
        <f>(1.36+1.64)/2</f>
        <v>1.5</v>
      </c>
      <c r="F14">
        <v>2.0819999999999999</v>
      </c>
      <c r="G14">
        <f>(2.47+3.15)/2</f>
        <v>2.81</v>
      </c>
      <c r="H14">
        <f>(7.01+5.06)/2</f>
        <v>6.0350000000000001</v>
      </c>
      <c r="I14">
        <f>(6.53+  5.16)/2</f>
        <v>5.8450000000000006</v>
      </c>
      <c r="J14">
        <v>1.5</v>
      </c>
    </row>
    <row r="15" spans="1:17" x14ac:dyDescent="0.25">
      <c r="D15" t="s">
        <v>10</v>
      </c>
      <c r="E15">
        <f>(2.22+2.73)/2</f>
        <v>2.4750000000000001</v>
      </c>
      <c r="F15">
        <f>(2.28+2.15)/2</f>
        <v>2.2149999999999999</v>
      </c>
      <c r="G15">
        <f>(3.37+3.26)/2</f>
        <v>3.3149999999999999</v>
      </c>
      <c r="H15">
        <f>(4.33+3.98)/2</f>
        <v>4.1550000000000002</v>
      </c>
      <c r="I15">
        <f>(6.26+  4.56)/2</f>
        <v>5.41</v>
      </c>
      <c r="J15">
        <v>2.4750000000000001</v>
      </c>
    </row>
    <row r="16" spans="1:17" x14ac:dyDescent="0.25">
      <c r="D16" t="s">
        <v>11</v>
      </c>
      <c r="E16">
        <f>(1.93+2.09)/2</f>
        <v>2.0099999999999998</v>
      </c>
      <c r="F16">
        <v>2.0979999999999999</v>
      </c>
      <c r="G16">
        <f>(2.98+2.97)/2</f>
        <v>2.9750000000000001</v>
      </c>
      <c r="H16">
        <f>(3.65+4.45)/2</f>
        <v>4.05</v>
      </c>
      <c r="I16">
        <f>(6.29+ 5.05)/2</f>
        <v>5.67</v>
      </c>
      <c r="J16">
        <v>2.0099999999999998</v>
      </c>
    </row>
    <row r="17" spans="3:10" x14ac:dyDescent="0.25">
      <c r="D17" t="s">
        <v>12</v>
      </c>
      <c r="E17">
        <f>(2.49+2.46)/2</f>
        <v>2.4750000000000001</v>
      </c>
      <c r="F17">
        <v>2.0539999999999998</v>
      </c>
      <c r="G17">
        <f>(2.38+2.63)/2</f>
        <v>2.5049999999999999</v>
      </c>
      <c r="H17">
        <f>(5.04+4.59)/2</f>
        <v>4.8149999999999995</v>
      </c>
      <c r="I17">
        <f>(7.3+  4.93)/2</f>
        <v>6.1150000000000002</v>
      </c>
      <c r="J17">
        <v>2.4750000000000001</v>
      </c>
    </row>
    <row r="18" spans="3:10" x14ac:dyDescent="0.25">
      <c r="D18" t="s">
        <v>14</v>
      </c>
      <c r="E18">
        <f>(2.9+1.44)/2</f>
        <v>2.17</v>
      </c>
      <c r="F18">
        <f>(2.29+2.2)/2</f>
        <v>2.2450000000000001</v>
      </c>
      <c r="G18">
        <f>(2.21+2.07)/2</f>
        <v>2.1399999999999997</v>
      </c>
      <c r="H18">
        <f>(2.55+2.32)/2</f>
        <v>2.4349999999999996</v>
      </c>
      <c r="I18">
        <f>(6.05+ 5.56)/2</f>
        <v>5.8049999999999997</v>
      </c>
      <c r="J18">
        <v>2.17</v>
      </c>
    </row>
    <row r="19" spans="3:10" x14ac:dyDescent="0.25">
      <c r="C19" t="s">
        <v>22</v>
      </c>
      <c r="D19" t="s">
        <v>9</v>
      </c>
      <c r="E19">
        <f>(4.61+3.57)/2</f>
        <v>4.09</v>
      </c>
      <c r="F19">
        <f>(6.34+5.48)/2</f>
        <v>5.91</v>
      </c>
      <c r="G19">
        <f>(4.43+3.71)/2</f>
        <v>4.07</v>
      </c>
      <c r="H19">
        <f>(6.14+4.06)/2</f>
        <v>5.0999999999999996</v>
      </c>
      <c r="I19">
        <f>(3.31+ 7.05)/2</f>
        <v>5.18</v>
      </c>
      <c r="J19">
        <v>4.09</v>
      </c>
    </row>
    <row r="20" spans="3:10" x14ac:dyDescent="0.25">
      <c r="D20" t="s">
        <v>10</v>
      </c>
      <c r="E20">
        <f>(3.92+3.23)/2</f>
        <v>3.5750000000000002</v>
      </c>
      <c r="F20">
        <f>(5.54+4.08)/2</f>
        <v>4.8100000000000005</v>
      </c>
      <c r="G20">
        <f>(5.29+5.54)/2</f>
        <v>5.415</v>
      </c>
      <c r="H20">
        <f>(5.64+6.27)/2</f>
        <v>5.9550000000000001</v>
      </c>
      <c r="I20">
        <f>(5.34+ 5.72)/2</f>
        <v>5.5299999999999994</v>
      </c>
      <c r="J20">
        <v>3.5750000000000002</v>
      </c>
    </row>
    <row r="21" spans="3:10" x14ac:dyDescent="0.25">
      <c r="D21" t="s">
        <v>11</v>
      </c>
      <c r="E21">
        <f>(5.81+4.36)/2</f>
        <v>5.085</v>
      </c>
      <c r="F21">
        <f>(7.49+4.33)/2</f>
        <v>5.91</v>
      </c>
      <c r="G21">
        <f>(4.47+4.76)/2</f>
        <v>4.6150000000000002</v>
      </c>
      <c r="H21">
        <f>(3.88+3.92)/2</f>
        <v>3.9</v>
      </c>
      <c r="I21">
        <f>(5.8+ 6.19)/2</f>
        <v>5.9950000000000001</v>
      </c>
      <c r="J21">
        <v>5.085</v>
      </c>
    </row>
    <row r="22" spans="3:10" x14ac:dyDescent="0.25">
      <c r="D22" t="s">
        <v>12</v>
      </c>
      <c r="E22">
        <f>(2.72+3.53)/2</f>
        <v>3.125</v>
      </c>
      <c r="F22">
        <f>(6.52+4.61)/2</f>
        <v>5.5649999999999995</v>
      </c>
      <c r="G22">
        <f>(4.16+4.8)/2</f>
        <v>4.4800000000000004</v>
      </c>
      <c r="H22">
        <f>(4.64+4.65)/2</f>
        <v>4.6449999999999996</v>
      </c>
      <c r="I22">
        <f>(7.16+ 6.29)/2</f>
        <v>6.7249999999999996</v>
      </c>
      <c r="J22">
        <v>3.125</v>
      </c>
    </row>
    <row r="23" spans="3:10" x14ac:dyDescent="0.25">
      <c r="D23" t="s">
        <v>14</v>
      </c>
      <c r="E23">
        <f>(2.16+2.39)/2</f>
        <v>2.2750000000000004</v>
      </c>
      <c r="F23">
        <v>5.58</v>
      </c>
      <c r="G23">
        <f>(3.25+3.27)/2</f>
        <v>3.26</v>
      </c>
      <c r="H23">
        <f>(3.76+5.04)/2</f>
        <v>4.4000000000000004</v>
      </c>
      <c r="I23">
        <f>(5.28+5.86)/2</f>
        <v>5.57</v>
      </c>
      <c r="J23">
        <v>2.2750000000000004</v>
      </c>
    </row>
    <row r="24" spans="3:10" x14ac:dyDescent="0.25">
      <c r="C24" t="s">
        <v>23</v>
      </c>
      <c r="D24" t="s">
        <v>9</v>
      </c>
      <c r="E24">
        <f>(4.84+5.16)/2</f>
        <v>5</v>
      </c>
      <c r="F24">
        <f>(5.18+4.76)/2</f>
        <v>4.97</v>
      </c>
      <c r="G24">
        <f>(4.53+3.52)/2</f>
        <v>4.0250000000000004</v>
      </c>
      <c r="H24">
        <v>4.75</v>
      </c>
      <c r="I24">
        <f>(5.25+ 6.83)/2</f>
        <v>6.04</v>
      </c>
      <c r="J24">
        <v>5</v>
      </c>
    </row>
    <row r="25" spans="3:10" x14ac:dyDescent="0.25">
      <c r="D25" t="s">
        <v>10</v>
      </c>
      <c r="E25">
        <f>(3.57+4.57)/2</f>
        <v>4.07</v>
      </c>
      <c r="F25">
        <f>(7+6.81)/2</f>
        <v>6.9049999999999994</v>
      </c>
      <c r="G25">
        <f>(4.75+6.09)/2</f>
        <v>5.42</v>
      </c>
      <c r="H25">
        <f>(4.14+5.08)/2</f>
        <v>4.6099999999999994</v>
      </c>
      <c r="I25">
        <f>(4.28+ 5.74)/2</f>
        <v>5.01</v>
      </c>
      <c r="J25">
        <v>4.07</v>
      </c>
    </row>
    <row r="26" spans="3:10" x14ac:dyDescent="0.25">
      <c r="D26" t="s">
        <v>11</v>
      </c>
      <c r="E26">
        <f>(4.08+4.32)/2</f>
        <v>4.2</v>
      </c>
      <c r="F26">
        <f>(7.24+8.83)/2</f>
        <v>8.0350000000000001</v>
      </c>
      <c r="G26">
        <f>(5.02+4.31)/2</f>
        <v>4.6649999999999991</v>
      </c>
      <c r="H26">
        <v>5.31</v>
      </c>
      <c r="I26">
        <f>(6.25+ 5.1)/2</f>
        <v>5.6749999999999998</v>
      </c>
      <c r="J26">
        <v>4.2</v>
      </c>
    </row>
    <row r="27" spans="3:10" x14ac:dyDescent="0.25">
      <c r="D27" t="s">
        <v>12</v>
      </c>
      <c r="E27">
        <f>(4.11+5.21)/2</f>
        <v>4.66</v>
      </c>
      <c r="F27">
        <f>(6.62+6.76)/2</f>
        <v>6.6899999999999995</v>
      </c>
      <c r="G27">
        <f>(5.09+4.9)/2</f>
        <v>4.9950000000000001</v>
      </c>
      <c r="H27">
        <f>(4.76+5.65)/2</f>
        <v>5.2050000000000001</v>
      </c>
      <c r="I27">
        <f>(6.74+ 5.28)/2</f>
        <v>6.01</v>
      </c>
      <c r="J27">
        <v>4.66</v>
      </c>
    </row>
    <row r="28" spans="3:10" x14ac:dyDescent="0.25">
      <c r="D28" t="s">
        <v>14</v>
      </c>
      <c r="E28">
        <f>(4.58+4.9)/2</f>
        <v>4.74</v>
      </c>
      <c r="F28">
        <f>(8.04+6.49)/2</f>
        <v>7.2649999999999997</v>
      </c>
      <c r="G28">
        <f>(4.98+4.16)/2</f>
        <v>4.57</v>
      </c>
      <c r="H28">
        <v>6.62</v>
      </c>
      <c r="I28">
        <f>(7.26+ 6.14)/2</f>
        <v>6.6999999999999993</v>
      </c>
      <c r="J28">
        <v>4.74</v>
      </c>
    </row>
    <row r="29" spans="3:10" x14ac:dyDescent="0.25">
      <c r="C29" t="s">
        <v>24</v>
      </c>
      <c r="D29" t="s">
        <v>9</v>
      </c>
      <c r="E29">
        <f>(6.68+6.97)/2</f>
        <v>6.8249999999999993</v>
      </c>
      <c r="F29">
        <f>(6.68+6.97)/2</f>
        <v>6.8249999999999993</v>
      </c>
      <c r="G29">
        <f>(6.68+6.97)/2</f>
        <v>6.8249999999999993</v>
      </c>
      <c r="H29">
        <f>(6.68+6.97)/2</f>
        <v>6.8249999999999993</v>
      </c>
      <c r="I29">
        <f>(6.68+6.97)/2</f>
        <v>6.8249999999999993</v>
      </c>
      <c r="J29">
        <v>6.8249999999999993</v>
      </c>
    </row>
    <row r="30" spans="3:10" x14ac:dyDescent="0.25">
      <c r="D30" t="s">
        <v>10</v>
      </c>
      <c r="E30">
        <f>(6.19+6.85)/2</f>
        <v>6.52</v>
      </c>
      <c r="F30">
        <f>(6.19+6.85)/2</f>
        <v>6.52</v>
      </c>
      <c r="G30">
        <f>(6.19+6.85)/2</f>
        <v>6.52</v>
      </c>
      <c r="H30">
        <f>(6.19+6.85)/2</f>
        <v>6.52</v>
      </c>
      <c r="I30">
        <f>(6.19+6.85)/2</f>
        <v>6.52</v>
      </c>
      <c r="J30">
        <v>6.52</v>
      </c>
    </row>
    <row r="31" spans="3:10" x14ac:dyDescent="0.25">
      <c r="D31" t="s">
        <v>11</v>
      </c>
      <c r="E31">
        <f>(6.05+7.76)/2</f>
        <v>6.9049999999999994</v>
      </c>
      <c r="F31">
        <f>(6.05+7.76)/2</f>
        <v>6.9049999999999994</v>
      </c>
      <c r="G31">
        <f>(6.05+7.76)/2</f>
        <v>6.9049999999999994</v>
      </c>
      <c r="H31">
        <f>(6.05+7.76)/2</f>
        <v>6.9049999999999994</v>
      </c>
      <c r="I31">
        <f>(6.05+7.76)/2</f>
        <v>6.9049999999999994</v>
      </c>
      <c r="J31">
        <v>6.9049999999999994</v>
      </c>
    </row>
    <row r="32" spans="3:10" x14ac:dyDescent="0.25">
      <c r="D32" t="s">
        <v>12</v>
      </c>
      <c r="E32">
        <f>(6.39+7)/2</f>
        <v>6.6950000000000003</v>
      </c>
      <c r="F32">
        <f>(6.39+7)/2</f>
        <v>6.6950000000000003</v>
      </c>
      <c r="G32">
        <f>(6.39+7)/2</f>
        <v>6.6950000000000003</v>
      </c>
      <c r="H32">
        <f>(6.39+7)/2</f>
        <v>6.6950000000000003</v>
      </c>
      <c r="I32">
        <f>(6.39+7)/2</f>
        <v>6.6950000000000003</v>
      </c>
      <c r="J32">
        <v>6.6950000000000003</v>
      </c>
    </row>
    <row r="33" spans="4:10" x14ac:dyDescent="0.25">
      <c r="D33" t="s">
        <v>14</v>
      </c>
      <c r="E33">
        <f>(8.43+8.94)/2</f>
        <v>8.6849999999999987</v>
      </c>
      <c r="F33">
        <f>(8.43+8.94)/2</f>
        <v>8.6849999999999987</v>
      </c>
      <c r="G33">
        <f>(8.43+8.94)/2</f>
        <v>8.6849999999999987</v>
      </c>
      <c r="H33">
        <f>(8.43+8.94)/2</f>
        <v>8.6849999999999987</v>
      </c>
      <c r="I33">
        <f>(8.43+8.94)/2</f>
        <v>8.6849999999999987</v>
      </c>
      <c r="J33">
        <v>8.6849999999999987</v>
      </c>
    </row>
    <row r="34" spans="4:10" x14ac:dyDescent="0.25">
      <c r="J34">
        <v>0.78</v>
      </c>
    </row>
    <row r="35" spans="4:10" x14ac:dyDescent="0.25">
      <c r="J35">
        <v>0.93</v>
      </c>
    </row>
    <row r="36" spans="4:10" x14ac:dyDescent="0.25">
      <c r="J36">
        <v>0.85</v>
      </c>
    </row>
    <row r="37" spans="4:10" x14ac:dyDescent="0.25">
      <c r="J37">
        <v>1.04</v>
      </c>
    </row>
    <row r="38" spans="4:10" x14ac:dyDescent="0.25">
      <c r="J38">
        <v>1.085</v>
      </c>
    </row>
    <row r="39" spans="4:10" x14ac:dyDescent="0.25">
      <c r="J39">
        <v>0.52</v>
      </c>
    </row>
    <row r="40" spans="4:10" x14ac:dyDescent="0.25">
      <c r="J40">
        <v>2.06</v>
      </c>
    </row>
    <row r="41" spans="4:10" x14ac:dyDescent="0.25">
      <c r="J41">
        <v>0.83499999999999996</v>
      </c>
    </row>
    <row r="42" spans="4:10" x14ac:dyDescent="0.25">
      <c r="J42">
        <v>2.35</v>
      </c>
    </row>
    <row r="43" spans="4:10" x14ac:dyDescent="0.25">
      <c r="J43">
        <v>1.44</v>
      </c>
    </row>
    <row r="44" spans="4:10" x14ac:dyDescent="0.25">
      <c r="J44">
        <v>2.0819999999999999</v>
      </c>
    </row>
    <row r="45" spans="4:10" x14ac:dyDescent="0.25">
      <c r="J45">
        <v>2.2149999999999999</v>
      </c>
    </row>
    <row r="46" spans="4:10" x14ac:dyDescent="0.25">
      <c r="J46">
        <v>2.0979999999999999</v>
      </c>
    </row>
    <row r="47" spans="4:10" ht="15.75" x14ac:dyDescent="0.25">
      <c r="J47" s="5">
        <v>2.0539999999999998</v>
      </c>
    </row>
    <row r="48" spans="4:10" x14ac:dyDescent="0.25">
      <c r="J48">
        <v>2.2450000000000001</v>
      </c>
    </row>
    <row r="49" spans="10:10" x14ac:dyDescent="0.25">
      <c r="J49">
        <v>5.91</v>
      </c>
    </row>
    <row r="50" spans="10:10" x14ac:dyDescent="0.25">
      <c r="J50">
        <v>4.8100000000000005</v>
      </c>
    </row>
    <row r="51" spans="10:10" x14ac:dyDescent="0.25">
      <c r="J51">
        <v>5.91</v>
      </c>
    </row>
    <row r="52" spans="10:10" x14ac:dyDescent="0.25">
      <c r="J52">
        <v>5.5649999999999995</v>
      </c>
    </row>
    <row r="53" spans="10:10" x14ac:dyDescent="0.25">
      <c r="J53">
        <v>5.58</v>
      </c>
    </row>
    <row r="54" spans="10:10" x14ac:dyDescent="0.25">
      <c r="J54">
        <v>4.97</v>
      </c>
    </row>
    <row r="55" spans="10:10" x14ac:dyDescent="0.25">
      <c r="J55">
        <v>6.9049999999999994</v>
      </c>
    </row>
    <row r="56" spans="10:10" x14ac:dyDescent="0.25">
      <c r="J56">
        <v>8.0350000000000001</v>
      </c>
    </row>
    <row r="57" spans="10:10" x14ac:dyDescent="0.25">
      <c r="J57">
        <v>6.6899999999999995</v>
      </c>
    </row>
    <row r="58" spans="10:10" x14ac:dyDescent="0.25">
      <c r="J58">
        <v>7.2649999999999997</v>
      </c>
    </row>
    <row r="59" spans="10:10" x14ac:dyDescent="0.25">
      <c r="J59">
        <v>6.8249999999999993</v>
      </c>
    </row>
    <row r="60" spans="10:10" x14ac:dyDescent="0.25">
      <c r="J60">
        <v>6.52</v>
      </c>
    </row>
    <row r="61" spans="10:10" x14ac:dyDescent="0.25">
      <c r="J61">
        <v>6.9049999999999994</v>
      </c>
    </row>
    <row r="62" spans="10:10" x14ac:dyDescent="0.25">
      <c r="J62">
        <v>6.6950000000000003</v>
      </c>
    </row>
    <row r="63" spans="10:10" x14ac:dyDescent="0.25">
      <c r="J63">
        <v>8.6849999999999987</v>
      </c>
    </row>
    <row r="64" spans="10:10" x14ac:dyDescent="0.25">
      <c r="J64">
        <v>1.575</v>
      </c>
    </row>
    <row r="65" spans="10:10" x14ac:dyDescent="0.25">
      <c r="J65">
        <v>1.365</v>
      </c>
    </row>
    <row r="66" spans="10:10" x14ac:dyDescent="0.25">
      <c r="J66">
        <v>1.145</v>
      </c>
    </row>
    <row r="67" spans="10:10" x14ac:dyDescent="0.25">
      <c r="J67">
        <v>1.135</v>
      </c>
    </row>
    <row r="68" spans="10:10" x14ac:dyDescent="0.25">
      <c r="J68">
        <v>0.70500000000000007</v>
      </c>
    </row>
    <row r="69" spans="10:10" x14ac:dyDescent="0.25">
      <c r="J69">
        <v>2.9749999999999996</v>
      </c>
    </row>
    <row r="70" spans="10:10" x14ac:dyDescent="0.25">
      <c r="J70">
        <v>3.2199999999999998</v>
      </c>
    </row>
    <row r="71" spans="10:10" x14ac:dyDescent="0.25">
      <c r="J71">
        <v>2.8</v>
      </c>
    </row>
    <row r="72" spans="10:10" x14ac:dyDescent="0.25">
      <c r="J72">
        <v>2.16</v>
      </c>
    </row>
    <row r="73" spans="10:10" x14ac:dyDescent="0.25">
      <c r="J73">
        <v>1.5499999999999998</v>
      </c>
    </row>
    <row r="74" spans="10:10" x14ac:dyDescent="0.25">
      <c r="J74">
        <v>2.81</v>
      </c>
    </row>
    <row r="75" spans="10:10" x14ac:dyDescent="0.25">
      <c r="J75">
        <v>3.3149999999999999</v>
      </c>
    </row>
    <row r="76" spans="10:10" x14ac:dyDescent="0.25">
      <c r="J76">
        <v>2.9750000000000001</v>
      </c>
    </row>
    <row r="77" spans="10:10" x14ac:dyDescent="0.25">
      <c r="J77">
        <v>2.5049999999999999</v>
      </c>
    </row>
    <row r="78" spans="10:10" x14ac:dyDescent="0.25">
      <c r="J78">
        <v>2.1399999999999997</v>
      </c>
    </row>
    <row r="79" spans="10:10" x14ac:dyDescent="0.25">
      <c r="J79">
        <v>4.07</v>
      </c>
    </row>
    <row r="80" spans="10:10" x14ac:dyDescent="0.25">
      <c r="J80">
        <v>5.415</v>
      </c>
    </row>
    <row r="81" spans="10:10" x14ac:dyDescent="0.25">
      <c r="J81">
        <v>4.6150000000000002</v>
      </c>
    </row>
    <row r="82" spans="10:10" x14ac:dyDescent="0.25">
      <c r="J82">
        <v>4.4800000000000004</v>
      </c>
    </row>
    <row r="83" spans="10:10" x14ac:dyDescent="0.25">
      <c r="J83">
        <v>3.26</v>
      </c>
    </row>
    <row r="84" spans="10:10" x14ac:dyDescent="0.25">
      <c r="J84">
        <v>4.0250000000000004</v>
      </c>
    </row>
    <row r="85" spans="10:10" x14ac:dyDescent="0.25">
      <c r="J85">
        <v>5.42</v>
      </c>
    </row>
    <row r="86" spans="10:10" x14ac:dyDescent="0.25">
      <c r="J86">
        <v>4.6649999999999991</v>
      </c>
    </row>
    <row r="87" spans="10:10" x14ac:dyDescent="0.25">
      <c r="J87">
        <v>4.9950000000000001</v>
      </c>
    </row>
    <row r="88" spans="10:10" x14ac:dyDescent="0.25">
      <c r="J88">
        <v>4.57</v>
      </c>
    </row>
    <row r="89" spans="10:10" x14ac:dyDescent="0.25">
      <c r="J89">
        <v>6.8249999999999993</v>
      </c>
    </row>
    <row r="90" spans="10:10" x14ac:dyDescent="0.25">
      <c r="J90">
        <v>6.52</v>
      </c>
    </row>
    <row r="91" spans="10:10" x14ac:dyDescent="0.25">
      <c r="J91">
        <v>6.9049999999999994</v>
      </c>
    </row>
    <row r="92" spans="10:10" x14ac:dyDescent="0.25">
      <c r="J92">
        <v>6.6950000000000003</v>
      </c>
    </row>
    <row r="93" spans="10:10" x14ac:dyDescent="0.25">
      <c r="J93">
        <v>8.6849999999999987</v>
      </c>
    </row>
    <row r="94" spans="10:10" x14ac:dyDescent="0.25">
      <c r="J94">
        <v>0.94499999999999995</v>
      </c>
    </row>
    <row r="95" spans="10:10" x14ac:dyDescent="0.25">
      <c r="J95">
        <v>2.5649999999999999</v>
      </c>
    </row>
    <row r="96" spans="10:10" x14ac:dyDescent="0.25">
      <c r="J96">
        <v>1.4649999999999999</v>
      </c>
    </row>
    <row r="97" spans="10:10" x14ac:dyDescent="0.25">
      <c r="J97">
        <v>0.85000000000000009</v>
      </c>
    </row>
    <row r="98" spans="10:10" x14ac:dyDescent="0.25">
      <c r="J98">
        <v>1.6950000000000001</v>
      </c>
    </row>
    <row r="99" spans="10:10" x14ac:dyDescent="0.25">
      <c r="J99">
        <v>2.77</v>
      </c>
    </row>
    <row r="100" spans="10:10" x14ac:dyDescent="0.25">
      <c r="J100">
        <v>3.23</v>
      </c>
    </row>
    <row r="101" spans="10:10" x14ac:dyDescent="0.25">
      <c r="J101">
        <v>2.52</v>
      </c>
    </row>
    <row r="102" spans="10:10" x14ac:dyDescent="0.25">
      <c r="J102">
        <v>1.8149999999999999</v>
      </c>
    </row>
    <row r="103" spans="10:10" x14ac:dyDescent="0.25">
      <c r="J103">
        <v>3.4829999999999997</v>
      </c>
    </row>
    <row r="104" spans="10:10" x14ac:dyDescent="0.25">
      <c r="J104">
        <v>6.0350000000000001</v>
      </c>
    </row>
    <row r="105" spans="10:10" x14ac:dyDescent="0.25">
      <c r="J105">
        <v>4.1550000000000002</v>
      </c>
    </row>
    <row r="106" spans="10:10" x14ac:dyDescent="0.25">
      <c r="J106">
        <v>4.05</v>
      </c>
    </row>
    <row r="107" spans="10:10" x14ac:dyDescent="0.25">
      <c r="J107">
        <v>4.8149999999999995</v>
      </c>
    </row>
    <row r="108" spans="10:10" x14ac:dyDescent="0.25">
      <c r="J108">
        <v>2.4349999999999996</v>
      </c>
    </row>
    <row r="109" spans="10:10" x14ac:dyDescent="0.25">
      <c r="J109">
        <v>5.0999999999999996</v>
      </c>
    </row>
    <row r="110" spans="10:10" x14ac:dyDescent="0.25">
      <c r="J110">
        <v>5.9550000000000001</v>
      </c>
    </row>
    <row r="111" spans="10:10" x14ac:dyDescent="0.25">
      <c r="J111">
        <v>3.9</v>
      </c>
    </row>
    <row r="112" spans="10:10" x14ac:dyDescent="0.25">
      <c r="J112">
        <v>4.6449999999999996</v>
      </c>
    </row>
    <row r="113" spans="10:10" x14ac:dyDescent="0.25">
      <c r="J113">
        <v>4.4000000000000004</v>
      </c>
    </row>
    <row r="114" spans="10:10" x14ac:dyDescent="0.25">
      <c r="J114">
        <v>4.75</v>
      </c>
    </row>
    <row r="115" spans="10:10" x14ac:dyDescent="0.25">
      <c r="J115">
        <v>4.6099999999999994</v>
      </c>
    </row>
    <row r="116" spans="10:10" x14ac:dyDescent="0.25">
      <c r="J116">
        <v>5.31</v>
      </c>
    </row>
    <row r="117" spans="10:10" x14ac:dyDescent="0.25">
      <c r="J117">
        <v>5.2050000000000001</v>
      </c>
    </row>
    <row r="118" spans="10:10" x14ac:dyDescent="0.25">
      <c r="J118">
        <v>6.62</v>
      </c>
    </row>
    <row r="119" spans="10:10" x14ac:dyDescent="0.25">
      <c r="J119">
        <v>6.8249999999999993</v>
      </c>
    </row>
    <row r="120" spans="10:10" x14ac:dyDescent="0.25">
      <c r="J120">
        <v>6.52</v>
      </c>
    </row>
    <row r="121" spans="10:10" x14ac:dyDescent="0.25">
      <c r="J121">
        <v>6.9049999999999994</v>
      </c>
    </row>
    <row r="122" spans="10:10" x14ac:dyDescent="0.25">
      <c r="J122">
        <v>6.6950000000000003</v>
      </c>
    </row>
    <row r="123" spans="10:10" x14ac:dyDescent="0.25">
      <c r="J123">
        <v>8.6849999999999987</v>
      </c>
    </row>
    <row r="124" spans="10:10" x14ac:dyDescent="0.25">
      <c r="J124">
        <v>5.1950000000000003</v>
      </c>
    </row>
    <row r="125" spans="10:10" x14ac:dyDescent="0.25">
      <c r="J125">
        <v>5.2549999999999999</v>
      </c>
    </row>
    <row r="126" spans="10:10" x14ac:dyDescent="0.25">
      <c r="J126">
        <v>5.8849999999999998</v>
      </c>
    </row>
    <row r="127" spans="10:10" x14ac:dyDescent="0.25">
      <c r="J127">
        <v>5.3450000000000006</v>
      </c>
    </row>
    <row r="128" spans="10:10" x14ac:dyDescent="0.25">
      <c r="J128">
        <v>3.7250000000000001</v>
      </c>
    </row>
    <row r="129" spans="10:10" x14ac:dyDescent="0.25">
      <c r="J129">
        <v>5.7</v>
      </c>
    </row>
    <row r="130" spans="10:10" x14ac:dyDescent="0.25">
      <c r="J130">
        <v>6.75</v>
      </c>
    </row>
    <row r="131" spans="10:10" x14ac:dyDescent="0.25">
      <c r="J131">
        <v>6.76</v>
      </c>
    </row>
    <row r="132" spans="10:10" x14ac:dyDescent="0.25">
      <c r="J132">
        <v>5.6349999999999998</v>
      </c>
    </row>
    <row r="133" spans="10:10" x14ac:dyDescent="0.25">
      <c r="J133">
        <v>6.76</v>
      </c>
    </row>
    <row r="134" spans="10:10" x14ac:dyDescent="0.25">
      <c r="J134">
        <v>4.3450000000000006</v>
      </c>
    </row>
    <row r="135" spans="10:10" x14ac:dyDescent="0.25">
      <c r="J135">
        <v>5.41</v>
      </c>
    </row>
    <row r="136" spans="10:10" x14ac:dyDescent="0.25">
      <c r="J136">
        <v>4.67</v>
      </c>
    </row>
    <row r="137" spans="10:10" x14ac:dyDescent="0.25">
      <c r="J137">
        <v>6.1150000000000002</v>
      </c>
    </row>
    <row r="138" spans="10:10" x14ac:dyDescent="0.25">
      <c r="J138">
        <v>5.8049999999999997</v>
      </c>
    </row>
    <row r="139" spans="10:10" x14ac:dyDescent="0.25">
      <c r="J139">
        <v>5.18</v>
      </c>
    </row>
    <row r="140" spans="10:10" x14ac:dyDescent="0.25">
      <c r="J140">
        <v>5.5299999999999994</v>
      </c>
    </row>
    <row r="141" spans="10:10" x14ac:dyDescent="0.25">
      <c r="J141">
        <v>4.9950000000000001</v>
      </c>
    </row>
    <row r="142" spans="10:10" x14ac:dyDescent="0.25">
      <c r="J142">
        <v>5.7249999999999996</v>
      </c>
    </row>
    <row r="143" spans="10:10" x14ac:dyDescent="0.25">
      <c r="J143">
        <v>4.57</v>
      </c>
    </row>
    <row r="144" spans="10:10" x14ac:dyDescent="0.25">
      <c r="J144">
        <v>5.04</v>
      </c>
    </row>
    <row r="145" spans="10:10" x14ac:dyDescent="0.25">
      <c r="J145">
        <v>3.96</v>
      </c>
    </row>
    <row r="146" spans="10:10" x14ac:dyDescent="0.25">
      <c r="J146">
        <v>4.6749999999999998</v>
      </c>
    </row>
    <row r="147" spans="10:10" x14ac:dyDescent="0.25">
      <c r="J147">
        <v>5.01</v>
      </c>
    </row>
    <row r="148" spans="10:10" x14ac:dyDescent="0.25">
      <c r="J148">
        <v>4.6999999999999993</v>
      </c>
    </row>
    <row r="149" spans="10:10" x14ac:dyDescent="0.25">
      <c r="J149">
        <v>6.8249999999999993</v>
      </c>
    </row>
    <row r="150" spans="10:10" x14ac:dyDescent="0.25">
      <c r="J150">
        <v>6.52</v>
      </c>
    </row>
    <row r="151" spans="10:10" x14ac:dyDescent="0.25">
      <c r="J151">
        <v>6.9049999999999994</v>
      </c>
    </row>
    <row r="152" spans="10:10" x14ac:dyDescent="0.25">
      <c r="J152">
        <v>6.6950000000000003</v>
      </c>
    </row>
    <row r="153" spans="10:10" x14ac:dyDescent="0.25">
      <c r="J153">
        <v>8.6849999999999987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2023-03-21T15:09:56Z</dcterms:created>
  <dcterms:modified xsi:type="dcterms:W3CDTF">2023-10-18T14:44:54Z</dcterms:modified>
</cp:coreProperties>
</file>