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d129375e4439b47/Desktop/UFSCar/Mestrado/FAPESP/Dados/Crotalária/"/>
    </mc:Choice>
  </mc:AlternateContent>
  <xr:revisionPtr revIDLastSave="94" documentId="13_ncr:1_{ADD18F2B-59B3-4D95-9A0F-9ECFB5515F54}" xr6:coauthVersionLast="47" xr6:coauthVersionMax="47" xr10:uidLastSave="{2BF1F790-0CD6-46D3-A250-F37105E8D412}"/>
  <bookViews>
    <workbookView xWindow="-120" yWindow="-120" windowWidth="20730" windowHeight="11040" xr2:uid="{00000000-000D-0000-FFFF-FFFF00000000}"/>
  </bookViews>
  <sheets>
    <sheet name="CLOMAZONE" sheetId="1" r:id="rId1"/>
    <sheet name="INDAZIFLAM" sheetId="2" r:id="rId2"/>
    <sheet name="SULFENTRAZON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" i="1" l="1"/>
  <c r="T12" i="1"/>
  <c r="U12" i="1"/>
  <c r="V12" i="1"/>
  <c r="R12" i="1"/>
  <c r="W7" i="1"/>
  <c r="W8" i="1"/>
  <c r="W9" i="1"/>
  <c r="W10" i="1"/>
  <c r="W11" i="1"/>
  <c r="W6" i="1"/>
  <c r="U7" i="3"/>
  <c r="U8" i="3"/>
  <c r="U9" i="3"/>
  <c r="U10" i="3"/>
  <c r="U11" i="3"/>
  <c r="U6" i="3"/>
  <c r="Q12" i="3"/>
  <c r="R12" i="3"/>
  <c r="S12" i="3"/>
  <c r="T12" i="3"/>
  <c r="P12" i="3"/>
  <c r="Q17" i="2"/>
  <c r="Q16" i="2"/>
  <c r="Q15" i="2"/>
  <c r="Q14" i="2"/>
  <c r="Q13" i="2"/>
  <c r="U7" i="2"/>
  <c r="U8" i="2"/>
  <c r="U9" i="2"/>
  <c r="U10" i="2"/>
  <c r="U11" i="2"/>
  <c r="U6" i="2"/>
  <c r="P8" i="3"/>
  <c r="P9" i="3"/>
  <c r="Q6" i="3"/>
  <c r="R6" i="3"/>
  <c r="S6" i="3"/>
  <c r="T6" i="3"/>
  <c r="P11" i="3"/>
  <c r="P10" i="3"/>
  <c r="P7" i="3"/>
  <c r="P6" i="3"/>
  <c r="Q11" i="2"/>
  <c r="T11" i="2"/>
  <c r="Q6" i="2"/>
  <c r="R6" i="2"/>
  <c r="S6" i="2"/>
  <c r="T6" i="2"/>
  <c r="P7" i="2"/>
  <c r="P6" i="2"/>
  <c r="S6" i="1"/>
  <c r="T6" i="1"/>
  <c r="U6" i="1"/>
  <c r="R6" i="1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F28" i="3"/>
  <c r="F27" i="3"/>
  <c r="F26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I28" i="2"/>
  <c r="I27" i="2"/>
  <c r="I26" i="2"/>
  <c r="I25" i="2"/>
  <c r="I24" i="2"/>
  <c r="I23" i="2"/>
  <c r="I22" i="2"/>
  <c r="I21" i="2"/>
  <c r="I20" i="2"/>
  <c r="I19" i="2"/>
  <c r="I17" i="2"/>
  <c r="I16" i="2"/>
  <c r="I15" i="2"/>
  <c r="I14" i="2"/>
  <c r="I11" i="2"/>
  <c r="T10" i="2" s="1"/>
  <c r="H25" i="2"/>
  <c r="H24" i="2"/>
  <c r="H28" i="2"/>
  <c r="H27" i="2"/>
  <c r="H26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8" i="2"/>
  <c r="H7" i="2"/>
  <c r="H6" i="2"/>
  <c r="H4" i="2"/>
  <c r="G28" i="2"/>
  <c r="G27" i="2"/>
  <c r="G26" i="2"/>
  <c r="G25" i="2"/>
  <c r="G24" i="2"/>
  <c r="G23" i="2"/>
  <c r="R8" i="2" s="1"/>
  <c r="G20" i="2"/>
  <c r="G19" i="2"/>
  <c r="G18" i="2"/>
  <c r="G17" i="2"/>
  <c r="G16" i="2"/>
  <c r="G15" i="2"/>
  <c r="G14" i="2"/>
  <c r="G13" i="2"/>
  <c r="G12" i="2"/>
  <c r="G10" i="2"/>
  <c r="G8" i="2"/>
  <c r="G7" i="2"/>
  <c r="G4" i="2"/>
  <c r="E5" i="2"/>
  <c r="E6" i="2"/>
  <c r="E8" i="2"/>
  <c r="E9" i="2"/>
  <c r="E10" i="2"/>
  <c r="E11" i="2"/>
  <c r="E12" i="2"/>
  <c r="E13" i="2"/>
  <c r="E14" i="2"/>
  <c r="E16" i="2"/>
  <c r="E17" i="2"/>
  <c r="E18" i="2"/>
  <c r="E19" i="2"/>
  <c r="E20" i="2"/>
  <c r="E21" i="2"/>
  <c r="E22" i="2"/>
  <c r="E23" i="2"/>
  <c r="F28" i="2"/>
  <c r="F27" i="2"/>
  <c r="F26" i="2"/>
  <c r="F24" i="2"/>
  <c r="F23" i="2"/>
  <c r="F22" i="2"/>
  <c r="F21" i="2"/>
  <c r="F20" i="2"/>
  <c r="F19" i="2"/>
  <c r="F18" i="2"/>
  <c r="F17" i="2"/>
  <c r="F15" i="2"/>
  <c r="F14" i="2"/>
  <c r="F12" i="2"/>
  <c r="F11" i="2"/>
  <c r="I27" i="3"/>
  <c r="I28" i="3"/>
  <c r="I25" i="3"/>
  <c r="I24" i="3"/>
  <c r="I23" i="3"/>
  <c r="I22" i="3"/>
  <c r="I21" i="3"/>
  <c r="I19" i="3"/>
  <c r="I17" i="3"/>
  <c r="I11" i="3"/>
  <c r="I10" i="3"/>
  <c r="I16" i="3"/>
  <c r="I14" i="3"/>
  <c r="I13" i="3"/>
  <c r="I9" i="3"/>
  <c r="I5" i="3"/>
  <c r="T11" i="3" s="1"/>
  <c r="I33" i="1"/>
  <c r="I32" i="1"/>
  <c r="I31" i="1"/>
  <c r="I30" i="1"/>
  <c r="I29" i="1"/>
  <c r="I23" i="1"/>
  <c r="I19" i="1"/>
  <c r="I28" i="1"/>
  <c r="I27" i="1"/>
  <c r="I26" i="1"/>
  <c r="I25" i="1"/>
  <c r="I24" i="1"/>
  <c r="I22" i="1"/>
  <c r="I21" i="1"/>
  <c r="I20" i="1"/>
  <c r="I18" i="1"/>
  <c r="I17" i="1"/>
  <c r="I16" i="1"/>
  <c r="I15" i="1"/>
  <c r="I14" i="1"/>
  <c r="I12" i="1"/>
  <c r="I11" i="1"/>
  <c r="I10" i="1"/>
  <c r="I9" i="1"/>
  <c r="I7" i="1"/>
  <c r="I8" i="1"/>
  <c r="I6" i="1"/>
  <c r="I5" i="1"/>
  <c r="I4" i="1"/>
  <c r="H23" i="1"/>
  <c r="H28" i="1"/>
  <c r="H27" i="1"/>
  <c r="H26" i="1"/>
  <c r="H25" i="1"/>
  <c r="H24" i="1"/>
  <c r="H22" i="1"/>
  <c r="H21" i="1"/>
  <c r="H20" i="1"/>
  <c r="H19" i="1"/>
  <c r="H14" i="1"/>
  <c r="H18" i="1"/>
  <c r="H17" i="1"/>
  <c r="H16" i="1"/>
  <c r="H15" i="1"/>
  <c r="H13" i="1"/>
  <c r="H12" i="1"/>
  <c r="H11" i="1"/>
  <c r="H10" i="1"/>
  <c r="H9" i="1"/>
  <c r="H8" i="1"/>
  <c r="H7" i="1"/>
  <c r="H6" i="1"/>
  <c r="H5" i="1"/>
  <c r="H4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F26" i="1"/>
  <c r="F25" i="1"/>
  <c r="F28" i="1"/>
  <c r="F27" i="1"/>
  <c r="F24" i="1"/>
  <c r="F23" i="1"/>
  <c r="F22" i="1"/>
  <c r="F21" i="1"/>
  <c r="F20" i="1"/>
  <c r="F19" i="1"/>
  <c r="F18" i="1"/>
  <c r="F16" i="1"/>
  <c r="F17" i="1"/>
  <c r="F15" i="1"/>
  <c r="F14" i="1"/>
  <c r="F11" i="1"/>
  <c r="F10" i="1"/>
  <c r="F13" i="1"/>
  <c r="F12" i="1"/>
  <c r="F6" i="1"/>
  <c r="F7" i="1"/>
  <c r="F9" i="1"/>
  <c r="S10" i="1" s="1"/>
  <c r="F8" i="1"/>
  <c r="E28" i="1"/>
  <c r="E27" i="1"/>
  <c r="E26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F4" i="1"/>
  <c r="S11" i="1" s="1"/>
  <c r="F5" i="1"/>
  <c r="P10" i="2" l="1"/>
  <c r="S8" i="2"/>
  <c r="S11" i="2"/>
  <c r="P9" i="2"/>
  <c r="P11" i="2"/>
  <c r="R7" i="2"/>
  <c r="S10" i="2"/>
  <c r="T8" i="2"/>
  <c r="Q10" i="2"/>
  <c r="R11" i="2"/>
  <c r="Q8" i="2"/>
  <c r="R9" i="2"/>
  <c r="S7" i="2"/>
  <c r="Q9" i="2"/>
  <c r="Q7" i="2"/>
  <c r="P8" i="2"/>
  <c r="R10" i="2"/>
  <c r="S9" i="2"/>
  <c r="T9" i="2"/>
  <c r="T7" i="2"/>
  <c r="T8" i="3"/>
  <c r="R8" i="3"/>
  <c r="S11" i="3"/>
  <c r="T9" i="3"/>
  <c r="Q9" i="3"/>
  <c r="T7" i="3"/>
  <c r="S7" i="3"/>
  <c r="T10" i="3"/>
  <c r="Q11" i="3"/>
  <c r="S8" i="3"/>
  <c r="Q8" i="3"/>
  <c r="R11" i="3"/>
  <c r="R9" i="3"/>
  <c r="Q10" i="3"/>
  <c r="Q7" i="3"/>
  <c r="R10" i="3"/>
  <c r="R7" i="3"/>
  <c r="S9" i="3"/>
  <c r="S10" i="3"/>
  <c r="T10" i="1"/>
  <c r="R7" i="1"/>
  <c r="R10" i="1"/>
  <c r="S7" i="1"/>
  <c r="T7" i="1"/>
  <c r="U9" i="1"/>
  <c r="V10" i="1"/>
  <c r="S8" i="1"/>
  <c r="T9" i="1"/>
  <c r="U10" i="1"/>
  <c r="T11" i="1"/>
  <c r="U8" i="1"/>
  <c r="V8" i="1"/>
  <c r="R8" i="1"/>
  <c r="S9" i="1"/>
  <c r="T8" i="1"/>
  <c r="U11" i="1"/>
  <c r="V11" i="1"/>
  <c r="V6" i="1"/>
  <c r="R11" i="1"/>
  <c r="R9" i="1"/>
  <c r="U7" i="1"/>
  <c r="V9" i="1"/>
  <c r="V7" i="1"/>
</calcChain>
</file>

<file path=xl/sharedStrings.xml><?xml version="1.0" encoding="utf-8"?>
<sst xmlns="http://schemas.openxmlformats.org/spreadsheetml/2006/main" count="170" uniqueCount="38">
  <si>
    <t>clomazone</t>
  </si>
  <si>
    <t>56 Dias Após Semeadura (DAS)</t>
  </si>
  <si>
    <t>0DAA</t>
  </si>
  <si>
    <t>10DAA</t>
  </si>
  <si>
    <t>20DAA</t>
  </si>
  <si>
    <t>40DAA</t>
  </si>
  <si>
    <t>60DAA</t>
  </si>
  <si>
    <t>2D</t>
  </si>
  <si>
    <t>A</t>
  </si>
  <si>
    <t>B</t>
  </si>
  <si>
    <t>C</t>
  </si>
  <si>
    <t>D</t>
  </si>
  <si>
    <t>E</t>
  </si>
  <si>
    <t>1D</t>
  </si>
  <si>
    <t>1/2D</t>
  </si>
  <si>
    <t>1/4D</t>
  </si>
  <si>
    <t>1/8D</t>
  </si>
  <si>
    <t>TESTEMUNHA</t>
  </si>
  <si>
    <t>Altura</t>
  </si>
  <si>
    <t>SULFENTRAZONE</t>
  </si>
  <si>
    <t>INDAZIFLAM</t>
  </si>
  <si>
    <t>0 DAA</t>
  </si>
  <si>
    <t>10 DAA</t>
  </si>
  <si>
    <t>20 DAA</t>
  </si>
  <si>
    <t>40 DAA</t>
  </si>
  <si>
    <t>60 DAA</t>
  </si>
  <si>
    <t>Herbicidas</t>
  </si>
  <si>
    <t>Indaziflam</t>
  </si>
  <si>
    <t>Clomazone</t>
  </si>
  <si>
    <t>Sulfentrazone</t>
  </si>
  <si>
    <t>Doses (g i.a. ha-1)</t>
  </si>
  <si>
    <t>-</t>
  </si>
  <si>
    <t>0D</t>
  </si>
  <si>
    <t>ANOVA</t>
  </si>
  <si>
    <t>MÉDIA POR DOSE</t>
  </si>
  <si>
    <t>MÉDIA POR PERIODO</t>
  </si>
  <si>
    <t>média por periodo</t>
  </si>
  <si>
    <t>média por dose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</si>
</sst>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0" fontId="1" fillId="2" borderId="0" xfId="0" applyFont="1" applyFill="1"/>
    <xf numFmtId="14" fontId="1" fillId="2" borderId="0" xfId="0" applyNumberFormat="1" applyFont="1" applyFill="1"/>
    <xf numFmtId="2" fontId="0" fillId="0" borderId="0" xfId="0" applyNumberFormat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2" fontId="2" fillId="0" borderId="1" xfId="0" applyNumberFormat="1" applyFont="1" applyBorder="1" applyAlignment="1">
      <alignment horizontal="center"/>
    </xf>
    <xf numFmtId="12" fontId="2" fillId="0" borderId="1" xfId="0" applyNumberFormat="1" applyFont="1" applyBorder="1" applyAlignment="1">
      <alignment horizontal="center" vertical="center"/>
    </xf>
    <xf numFmtId="2" fontId="0" fillId="2" borderId="0" xfId="0" applyNumberFormat="1" applyFill="1"/>
    <xf numFmtId="0" fontId="0" fillId="2" borderId="0" xfId="0" applyFill="1"/>
    <xf numFmtId="14" fontId="0" fillId="2" borderId="0" xfId="0" applyNumberFormat="1" applyFill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53"/>
  <sheetViews>
    <sheetView tabSelected="1" topLeftCell="K1" workbookViewId="0">
      <selection activeCell="W6" sqref="W6:W11"/>
    </sheetView>
  </sheetViews>
  <sheetFormatPr defaultRowHeight="15" x14ac:dyDescent="0.25"/>
  <cols>
    <col min="1" max="1" width="6.42578125" bestFit="1" customWidth="1"/>
    <col min="2" max="2" width="10.5703125" bestFit="1" customWidth="1"/>
    <col min="3" max="3" width="28.42578125" bestFit="1" customWidth="1"/>
    <col min="4" max="4" width="2.28515625" bestFit="1" customWidth="1"/>
    <col min="5" max="9" width="10.7109375" bestFit="1" customWidth="1"/>
    <col min="17" max="17" width="17.7109375" bestFit="1" customWidth="1"/>
    <col min="18" max="18" width="7" customWidth="1"/>
    <col min="21" max="21" width="7.85546875" customWidth="1"/>
    <col min="22" max="22" width="7" customWidth="1"/>
    <col min="23" max="23" width="14.85546875" bestFit="1" customWidth="1"/>
  </cols>
  <sheetData>
    <row r="1" spans="1:26" x14ac:dyDescent="0.25">
      <c r="A1" s="2" t="s">
        <v>18</v>
      </c>
      <c r="B1" s="2" t="s">
        <v>0</v>
      </c>
      <c r="C1" s="2" t="s">
        <v>1</v>
      </c>
    </row>
    <row r="2" spans="1:26" x14ac:dyDescent="0.25">
      <c r="C2" s="3"/>
      <c r="E2" s="1">
        <v>44775</v>
      </c>
      <c r="F2" s="1">
        <v>44783</v>
      </c>
      <c r="G2" s="1">
        <v>44790</v>
      </c>
      <c r="H2" s="1">
        <v>44808</v>
      </c>
      <c r="I2" s="1">
        <v>44832</v>
      </c>
    </row>
    <row r="3" spans="1:26" x14ac:dyDescent="0.25"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33</v>
      </c>
    </row>
    <row r="4" spans="1:26" x14ac:dyDescent="0.25">
      <c r="C4" t="s">
        <v>7</v>
      </c>
      <c r="D4" t="s">
        <v>8</v>
      </c>
      <c r="E4" s="4">
        <v>0.84499999999999997</v>
      </c>
      <c r="F4" s="4">
        <f>(1.57+0.53)/2</f>
        <v>1.05</v>
      </c>
      <c r="G4" s="4">
        <f>(2.18+1.65)/2</f>
        <v>1.915</v>
      </c>
      <c r="H4" s="4">
        <f>(0.59+0.72)/2</f>
        <v>0.65500000000000003</v>
      </c>
      <c r="I4" s="4">
        <f>(1.78+2)/2</f>
        <v>1.8900000000000001</v>
      </c>
      <c r="J4">
        <v>0.84499999999999997</v>
      </c>
    </row>
    <row r="5" spans="1:26" x14ac:dyDescent="0.25">
      <c r="D5" t="s">
        <v>9</v>
      </c>
      <c r="E5" s="4">
        <f>12.6/14</f>
        <v>0.9</v>
      </c>
      <c r="F5" s="4">
        <f>(0.82+0.39)/2</f>
        <v>0.60499999999999998</v>
      </c>
      <c r="G5" s="4">
        <f>(1.33+2.07)/2</f>
        <v>1.7</v>
      </c>
      <c r="H5" s="4">
        <f>(0.96+1.84)/2</f>
        <v>1.4</v>
      </c>
      <c r="I5" s="4">
        <f>(1.28+1.38)/2</f>
        <v>1.33</v>
      </c>
      <c r="J5">
        <v>0.9</v>
      </c>
      <c r="R5" t="s">
        <v>21</v>
      </c>
      <c r="S5" t="s">
        <v>22</v>
      </c>
      <c r="T5" t="s">
        <v>23</v>
      </c>
      <c r="U5" t="s">
        <v>24</v>
      </c>
      <c r="V5" t="s">
        <v>25</v>
      </c>
      <c r="W5" t="s">
        <v>37</v>
      </c>
    </row>
    <row r="6" spans="1:26" x14ac:dyDescent="0.25">
      <c r="D6" t="s">
        <v>10</v>
      </c>
      <c r="E6" s="4">
        <f>12.01/14</f>
        <v>0.85785714285714287</v>
      </c>
      <c r="F6" s="4">
        <f>(0.68+0.82)/2</f>
        <v>0.75</v>
      </c>
      <c r="G6" s="4">
        <f>(1.26+1.26)/2</f>
        <v>1.26</v>
      </c>
      <c r="H6" s="4">
        <f>(1.55+0.82)/2</f>
        <v>1.1850000000000001</v>
      </c>
      <c r="I6" s="4">
        <f>(1.06+2.43)/2</f>
        <v>1.7450000000000001</v>
      </c>
      <c r="J6">
        <v>0.85785714285714287</v>
      </c>
      <c r="Q6">
        <v>0</v>
      </c>
      <c r="R6" s="4">
        <f>AVERAGE(E29:E33)</f>
        <v>4.5170000000000003</v>
      </c>
      <c r="S6" s="4">
        <f t="shared" ref="S6:V6" si="0">AVERAGE(F29:F33)</f>
        <v>4.5170000000000003</v>
      </c>
      <c r="T6" s="4">
        <f t="shared" si="0"/>
        <v>4.5170000000000003</v>
      </c>
      <c r="U6" s="4">
        <f t="shared" si="0"/>
        <v>4.5170000000000003</v>
      </c>
      <c r="V6" s="4">
        <f t="shared" si="0"/>
        <v>4.5170000000000003</v>
      </c>
      <c r="W6" s="4">
        <f>AVERAGE(R6:V6)</f>
        <v>4.5170000000000003</v>
      </c>
      <c r="Y6">
        <v>0</v>
      </c>
      <c r="Z6">
        <v>1.7242380952380953</v>
      </c>
    </row>
    <row r="7" spans="1:26" x14ac:dyDescent="0.25">
      <c r="D7" t="s">
        <v>11</v>
      </c>
      <c r="E7" s="4">
        <f>13.14/14</f>
        <v>0.93857142857142861</v>
      </c>
      <c r="F7" s="4">
        <f>(0.79+0.69)/2</f>
        <v>0.74</v>
      </c>
      <c r="G7" s="4">
        <f>(0.99+1.04)/2</f>
        <v>1.0150000000000001</v>
      </c>
      <c r="H7" s="4">
        <f>(0.84+0.93)/2</f>
        <v>0.88500000000000001</v>
      </c>
      <c r="I7" s="4">
        <f>(2.01+1.02)/2</f>
        <v>1.5149999999999999</v>
      </c>
      <c r="J7">
        <v>0.93857142857142861</v>
      </c>
      <c r="Q7">
        <v>157.5</v>
      </c>
      <c r="R7" s="4">
        <f>AVERAGE(E24:E28)</f>
        <v>1.3522857142857141</v>
      </c>
      <c r="S7" s="4">
        <f t="shared" ref="S7:V7" si="1">AVERAGE(F24:F28)</f>
        <v>1.6219999999999999</v>
      </c>
      <c r="T7" s="4">
        <f t="shared" si="1"/>
        <v>1.4850000000000001</v>
      </c>
      <c r="U7" s="4">
        <f t="shared" si="1"/>
        <v>1.3460000000000001</v>
      </c>
      <c r="V7" s="4">
        <f t="shared" si="1"/>
        <v>1.879</v>
      </c>
      <c r="W7" s="4">
        <f t="shared" ref="W7:W11" si="2">AVERAGE(R7:V7)</f>
        <v>1.5368571428571429</v>
      </c>
      <c r="Y7">
        <v>10</v>
      </c>
      <c r="Z7">
        <v>1.84</v>
      </c>
    </row>
    <row r="8" spans="1:26" x14ac:dyDescent="0.25">
      <c r="D8" t="s">
        <v>12</v>
      </c>
      <c r="E8" s="4">
        <f>9.56/14</f>
        <v>0.68285714285714294</v>
      </c>
      <c r="F8" s="4">
        <f>(0.57+0.67)/2</f>
        <v>0.62</v>
      </c>
      <c r="G8" s="4">
        <f>(1.57+0.36)/2</f>
        <v>0.96500000000000008</v>
      </c>
      <c r="H8" s="4">
        <f>(1.19+0.43)/2</f>
        <v>0.80999999999999994</v>
      </c>
      <c r="I8" s="4">
        <f>(1.1+1.16)/2</f>
        <v>1.1299999999999999</v>
      </c>
      <c r="J8">
        <v>0.68285714285714294</v>
      </c>
      <c r="Q8">
        <v>315</v>
      </c>
      <c r="R8" s="4">
        <f>AVERAGE(E19:E23)</f>
        <v>1.2982857142857145</v>
      </c>
      <c r="S8" s="4">
        <f t="shared" ref="S8:V8" si="3">AVERAGE(F19:F23)</f>
        <v>1.31</v>
      </c>
      <c r="T8" s="4">
        <f t="shared" si="3"/>
        <v>1.3340000000000001</v>
      </c>
      <c r="U8" s="4">
        <f t="shared" si="3"/>
        <v>1.5469999999999999</v>
      </c>
      <c r="V8" s="4">
        <f t="shared" si="3"/>
        <v>1.8800000000000001</v>
      </c>
      <c r="W8" s="4">
        <f t="shared" si="2"/>
        <v>1.473857142857143</v>
      </c>
      <c r="Y8">
        <v>20</v>
      </c>
      <c r="Z8">
        <v>1.8818333333333335</v>
      </c>
    </row>
    <row r="9" spans="1:26" x14ac:dyDescent="0.25">
      <c r="C9" t="s">
        <v>13</v>
      </c>
      <c r="D9" t="s">
        <v>8</v>
      </c>
      <c r="E9" s="4">
        <f>16.16/14</f>
        <v>1.1542857142857144</v>
      </c>
      <c r="F9" s="4">
        <f>(0.46+1.18)/2</f>
        <v>0.82</v>
      </c>
      <c r="G9" s="4">
        <f>(1.53+1.13)/2</f>
        <v>1.33</v>
      </c>
      <c r="H9" s="4">
        <f>(1.1+1.08)/2</f>
        <v>1.0900000000000001</v>
      </c>
      <c r="I9" s="4">
        <f>(1.94+1.83)/2</f>
        <v>1.885</v>
      </c>
      <c r="J9">
        <v>1.1542857142857144</v>
      </c>
      <c r="Q9">
        <v>630</v>
      </c>
      <c r="R9" s="4">
        <f>AVERAGE(E14:E18)</f>
        <v>1.2084285714285712</v>
      </c>
      <c r="S9" s="4">
        <f t="shared" ref="S9:V9" si="4">AVERAGE(F14:F18)</f>
        <v>1.304</v>
      </c>
      <c r="T9" s="4">
        <f t="shared" si="4"/>
        <v>1.3109999999999999</v>
      </c>
      <c r="U9" s="4">
        <f t="shared" si="4"/>
        <v>1.2890000000000001</v>
      </c>
      <c r="V9" s="4">
        <f t="shared" si="4"/>
        <v>1.7240000000000002</v>
      </c>
      <c r="W9" s="4">
        <f t="shared" si="2"/>
        <v>1.3672857142857144</v>
      </c>
      <c r="Y9">
        <v>40</v>
      </c>
      <c r="Z9">
        <v>1.8055000000000001</v>
      </c>
    </row>
    <row r="10" spans="1:26" x14ac:dyDescent="0.25">
      <c r="D10" t="s">
        <v>9</v>
      </c>
      <c r="E10" s="4">
        <f>16.9/14</f>
        <v>1.2071428571428571</v>
      </c>
      <c r="F10">
        <f>(1.93+1.89)/2</f>
        <v>1.91</v>
      </c>
      <c r="G10" s="4">
        <f>(1.62+1.04)/2</f>
        <v>1.33</v>
      </c>
      <c r="H10" s="4">
        <f>(1.3+0.86)/2</f>
        <v>1.08</v>
      </c>
      <c r="I10" s="4">
        <f>(1.72+0.94)/2</f>
        <v>1.33</v>
      </c>
      <c r="J10">
        <v>1.2071428571428571</v>
      </c>
      <c r="Q10">
        <v>1260</v>
      </c>
      <c r="R10" s="4">
        <f>AVERAGE(E9:E13)</f>
        <v>1.1245714285714286</v>
      </c>
      <c r="S10" s="4">
        <f t="shared" ref="S10:V10" si="5">AVERAGE(F9:F13)</f>
        <v>1.534</v>
      </c>
      <c r="T10" s="4">
        <f t="shared" si="5"/>
        <v>1.2730000000000001</v>
      </c>
      <c r="U10" s="4">
        <f t="shared" si="5"/>
        <v>1.1469999999999998</v>
      </c>
      <c r="V10" s="4">
        <f t="shared" si="5"/>
        <v>1.5829999999999997</v>
      </c>
      <c r="W10" s="4">
        <f t="shared" si="2"/>
        <v>1.3323142857142856</v>
      </c>
      <c r="Y10">
        <v>60</v>
      </c>
      <c r="Z10">
        <v>2.184166666666667</v>
      </c>
    </row>
    <row r="11" spans="1:26" x14ac:dyDescent="0.25">
      <c r="D11" t="s">
        <v>10</v>
      </c>
      <c r="E11" s="4">
        <f>13.75/14</f>
        <v>0.9821428571428571</v>
      </c>
      <c r="F11">
        <f>(0.82+0.81)/2</f>
        <v>0.81499999999999995</v>
      </c>
      <c r="G11" s="4">
        <f>(1.13+0.98)/2</f>
        <v>1.0549999999999999</v>
      </c>
      <c r="H11" s="4">
        <f>(1.3+1.6)/2</f>
        <v>1.4500000000000002</v>
      </c>
      <c r="I11" s="4">
        <f>(1.72+2.25)/2</f>
        <v>1.9849999999999999</v>
      </c>
      <c r="J11">
        <v>0.9821428571428571</v>
      </c>
      <c r="Q11">
        <v>2520</v>
      </c>
      <c r="R11" s="4">
        <f>AVERAGE(E4:E8)</f>
        <v>0.84485714285714297</v>
      </c>
      <c r="S11" s="4">
        <f t="shared" ref="S11:V11" si="6">AVERAGE(F4:F8)</f>
        <v>0.75300000000000011</v>
      </c>
      <c r="T11" s="4">
        <f t="shared" si="6"/>
        <v>1.371</v>
      </c>
      <c r="U11" s="4">
        <f t="shared" si="6"/>
        <v>0.98699999999999988</v>
      </c>
      <c r="V11" s="4">
        <f t="shared" si="6"/>
        <v>1.5219999999999998</v>
      </c>
      <c r="W11" s="4">
        <f t="shared" si="2"/>
        <v>1.0955714285714286</v>
      </c>
    </row>
    <row r="12" spans="1:26" x14ac:dyDescent="0.25">
      <c r="D12" t="s">
        <v>11</v>
      </c>
      <c r="E12" s="4">
        <f>19.47/14</f>
        <v>1.3907142857142856</v>
      </c>
      <c r="F12" s="4">
        <f>(3.08+1.87)/2</f>
        <v>2.4750000000000001</v>
      </c>
      <c r="G12" s="4">
        <f>(1.45+1.14)/2</f>
        <v>1.2949999999999999</v>
      </c>
      <c r="H12" s="4">
        <f>(1.67+0.7)/2</f>
        <v>1.1850000000000001</v>
      </c>
      <c r="I12" s="4">
        <f>(1.02+1.24)/2</f>
        <v>1.1299999999999999</v>
      </c>
      <c r="J12">
        <v>1.3907142857142856</v>
      </c>
      <c r="Q12" t="s">
        <v>36</v>
      </c>
      <c r="R12" s="4">
        <f>AVERAGE(R6:R11)</f>
        <v>1.7242380952380953</v>
      </c>
      <c r="S12" s="4">
        <f t="shared" ref="S12:W12" si="7">AVERAGE(S6:S11)</f>
        <v>1.84</v>
      </c>
      <c r="T12" s="4">
        <f t="shared" si="7"/>
        <v>1.8818333333333335</v>
      </c>
      <c r="U12" s="4">
        <f t="shared" si="7"/>
        <v>1.8055000000000001</v>
      </c>
      <c r="V12" s="4">
        <f t="shared" si="7"/>
        <v>2.184166666666667</v>
      </c>
      <c r="W12" s="4"/>
    </row>
    <row r="13" spans="1:26" x14ac:dyDescent="0.25">
      <c r="D13" t="s">
        <v>12</v>
      </c>
      <c r="E13" s="4">
        <f>12.44/14</f>
        <v>0.88857142857142857</v>
      </c>
      <c r="F13" s="4">
        <f>(2.13+1.17)/2</f>
        <v>1.65</v>
      </c>
      <c r="G13" s="4">
        <f>(1.32+1.39)/2</f>
        <v>1.355</v>
      </c>
      <c r="H13" s="4">
        <f>(1.43+0.43)/2</f>
        <v>0.92999999999999994</v>
      </c>
      <c r="I13" s="4">
        <v>1.585</v>
      </c>
      <c r="J13">
        <v>0.88857142857142857</v>
      </c>
    </row>
    <row r="14" spans="1:26" x14ac:dyDescent="0.25">
      <c r="C14" t="s">
        <v>14</v>
      </c>
      <c r="D14" t="s">
        <v>8</v>
      </c>
      <c r="E14" s="4">
        <f>29.11/14</f>
        <v>2.0792857142857142</v>
      </c>
      <c r="F14" s="4">
        <f>(1.25+0.38)/2</f>
        <v>0.81499999999999995</v>
      </c>
      <c r="G14" s="4">
        <f>(0.83+1.42)/2</f>
        <v>1.125</v>
      </c>
      <c r="H14" s="4">
        <f>(1.01+1.52)/2</f>
        <v>1.2650000000000001</v>
      </c>
      <c r="I14" s="4">
        <f>(1.6+1.55)/2</f>
        <v>1.5750000000000002</v>
      </c>
      <c r="J14">
        <v>2.0792857142857142</v>
      </c>
    </row>
    <row r="15" spans="1:26" ht="15.75" x14ac:dyDescent="0.25">
      <c r="D15" t="s">
        <v>9</v>
      </c>
      <c r="E15" s="4">
        <f>9.85/14</f>
        <v>0.70357142857142851</v>
      </c>
      <c r="F15" s="4">
        <f>(1.52+2.43)/2</f>
        <v>1.9750000000000001</v>
      </c>
      <c r="G15" s="4">
        <f>(1.04+1.39)/2</f>
        <v>1.2149999999999999</v>
      </c>
      <c r="H15" s="4">
        <f>(1.3+1.3)/2</f>
        <v>1.3</v>
      </c>
      <c r="I15" s="4">
        <f>(1.26+1.6)/2</f>
        <v>1.4300000000000002</v>
      </c>
      <c r="J15">
        <v>0.70357142857142851</v>
      </c>
      <c r="Q15" s="14" t="s">
        <v>26</v>
      </c>
      <c r="R15" s="13" t="s">
        <v>30</v>
      </c>
      <c r="S15" s="13"/>
      <c r="T15" s="13"/>
      <c r="U15" s="13"/>
      <c r="V15" s="13"/>
      <c r="W15" s="13"/>
    </row>
    <row r="16" spans="1:26" ht="15.75" x14ac:dyDescent="0.25">
      <c r="D16" t="s">
        <v>10</v>
      </c>
      <c r="E16" s="4">
        <f>12.89/14</f>
        <v>0.92071428571428571</v>
      </c>
      <c r="F16" s="4">
        <f>(1.69+0.54)/2</f>
        <v>1.115</v>
      </c>
      <c r="G16" s="4">
        <f>(1.65+1.11)/2</f>
        <v>1.38</v>
      </c>
      <c r="H16" s="4">
        <f>(1.26+1.6)/2</f>
        <v>1.4300000000000002</v>
      </c>
      <c r="I16" s="4">
        <f>(1.72+1.9)/2</f>
        <v>1.81</v>
      </c>
      <c r="J16">
        <v>0.92071428571428571</v>
      </c>
      <c r="Q16" s="15"/>
      <c r="R16" s="8" t="s">
        <v>32</v>
      </c>
      <c r="S16" s="9" t="s">
        <v>16</v>
      </c>
      <c r="T16" s="9" t="s">
        <v>15</v>
      </c>
      <c r="U16" s="9" t="s">
        <v>14</v>
      </c>
      <c r="V16" s="9" t="s">
        <v>13</v>
      </c>
      <c r="W16" s="9" t="s">
        <v>7</v>
      </c>
    </row>
    <row r="17" spans="3:23" ht="15.75" x14ac:dyDescent="0.25">
      <c r="D17" t="s">
        <v>11</v>
      </c>
      <c r="E17" s="4">
        <f>12.84/14</f>
        <v>0.91714285714285715</v>
      </c>
      <c r="F17" s="4">
        <f>(1.25+1.23)/2</f>
        <v>1.24</v>
      </c>
      <c r="G17" s="4">
        <f>(1.98+1.31)/2</f>
        <v>1.645</v>
      </c>
      <c r="H17" s="4">
        <f>(1.15+1.16)/2</f>
        <v>1.1549999999999998</v>
      </c>
      <c r="I17" s="4">
        <f>(1.82+1.23)/2</f>
        <v>1.5249999999999999</v>
      </c>
      <c r="J17">
        <v>0.91714285714285715</v>
      </c>
      <c r="Q17" s="5" t="s">
        <v>27</v>
      </c>
      <c r="R17" s="5" t="s">
        <v>31</v>
      </c>
      <c r="S17" s="5">
        <v>12.5</v>
      </c>
      <c r="T17" s="5">
        <v>25</v>
      </c>
      <c r="U17" s="5">
        <v>50</v>
      </c>
      <c r="V17" s="5">
        <v>100</v>
      </c>
      <c r="W17" s="5">
        <v>200</v>
      </c>
    </row>
    <row r="18" spans="3:23" ht="15.75" x14ac:dyDescent="0.25">
      <c r="D18" t="s">
        <v>12</v>
      </c>
      <c r="E18" s="4">
        <f>19.9/14</f>
        <v>1.4214285714285713</v>
      </c>
      <c r="F18" s="4">
        <f>(1.52+1.23)/2</f>
        <v>1.375</v>
      </c>
      <c r="G18" s="4">
        <f>(1.27+1.11)/2</f>
        <v>1.19</v>
      </c>
      <c r="H18" s="4">
        <f>(1.57+1.02)/2</f>
        <v>1.2949999999999999</v>
      </c>
      <c r="I18" s="4">
        <f>(3.02+1.54)/2</f>
        <v>2.2800000000000002</v>
      </c>
      <c r="J18">
        <v>1.4214285714285713</v>
      </c>
      <c r="Q18" s="6" t="s">
        <v>28</v>
      </c>
      <c r="R18" s="6" t="s">
        <v>31</v>
      </c>
      <c r="S18" s="6">
        <v>157.5</v>
      </c>
      <c r="T18" s="6">
        <v>315</v>
      </c>
      <c r="U18" s="6">
        <v>630</v>
      </c>
      <c r="V18" s="6">
        <v>1260</v>
      </c>
      <c r="W18" s="6">
        <v>2520</v>
      </c>
    </row>
    <row r="19" spans="3:23" ht="15.75" x14ac:dyDescent="0.25">
      <c r="C19" t="s">
        <v>15</v>
      </c>
      <c r="D19" t="s">
        <v>8</v>
      </c>
      <c r="E19" s="4">
        <f>17.22/14</f>
        <v>1.23</v>
      </c>
      <c r="F19" s="4">
        <f>(1.15+0.87)/2</f>
        <v>1.01</v>
      </c>
      <c r="G19" s="4">
        <f>(1.29+1.01)/2</f>
        <v>1.1499999999999999</v>
      </c>
      <c r="H19" s="4">
        <f>(1.34+1.37)/2</f>
        <v>1.355</v>
      </c>
      <c r="I19">
        <f>(2.02+1.54)/2</f>
        <v>1.78</v>
      </c>
      <c r="J19">
        <v>1.23</v>
      </c>
      <c r="Q19" s="7" t="s">
        <v>29</v>
      </c>
      <c r="R19" s="7" t="s">
        <v>31</v>
      </c>
      <c r="S19" s="7">
        <v>75</v>
      </c>
      <c r="T19" s="7">
        <v>150</v>
      </c>
      <c r="U19" s="7">
        <v>300</v>
      </c>
      <c r="V19" s="7">
        <v>600</v>
      </c>
      <c r="W19" s="7">
        <v>1200</v>
      </c>
    </row>
    <row r="20" spans="3:23" x14ac:dyDescent="0.25">
      <c r="D20" t="s">
        <v>9</v>
      </c>
      <c r="E20" s="4">
        <f>14.04/14</f>
        <v>1.0028571428571429</v>
      </c>
      <c r="F20" s="4">
        <f>(1.18+1.52)/2</f>
        <v>1.35</v>
      </c>
      <c r="G20" s="4">
        <f>(1.81+1.82)/2</f>
        <v>1.8149999999999999</v>
      </c>
      <c r="H20" s="4">
        <f>(1.64+0.79)/2</f>
        <v>1.2149999999999999</v>
      </c>
      <c r="I20" s="4">
        <f>(1.92+1.1)/2</f>
        <v>1.51</v>
      </c>
      <c r="J20">
        <v>1.0028571428571429</v>
      </c>
    </row>
    <row r="21" spans="3:23" x14ac:dyDescent="0.25">
      <c r="D21" t="s">
        <v>10</v>
      </c>
      <c r="E21" s="4">
        <f>15.82/14</f>
        <v>1.1300000000000001</v>
      </c>
      <c r="F21" s="4">
        <f>(0.98+1.33)/2</f>
        <v>1.155</v>
      </c>
      <c r="G21" s="4">
        <f>(1.02+1.26)/2</f>
        <v>1.1400000000000001</v>
      </c>
      <c r="H21" s="4">
        <f>(1.69+1.71)/2</f>
        <v>1.7</v>
      </c>
      <c r="I21" s="4">
        <f>(1.85+2.61)/2</f>
        <v>2.23</v>
      </c>
      <c r="J21">
        <v>1.1300000000000001</v>
      </c>
    </row>
    <row r="22" spans="3:23" x14ac:dyDescent="0.25">
      <c r="D22" t="s">
        <v>11</v>
      </c>
      <c r="E22" s="4">
        <f>28.92/14</f>
        <v>2.0657142857142858</v>
      </c>
      <c r="F22" s="4">
        <f>(1.92+1.58)/2</f>
        <v>1.75</v>
      </c>
      <c r="G22" s="4">
        <f>(1.26+1.3)/2</f>
        <v>1.28</v>
      </c>
      <c r="H22" s="4">
        <f>(1.98+1.88)/2</f>
        <v>1.93</v>
      </c>
      <c r="I22" s="4">
        <f>(3.03+1.02)/2</f>
        <v>2.0249999999999999</v>
      </c>
      <c r="J22">
        <v>2.0657142857142858</v>
      </c>
    </row>
    <row r="23" spans="3:23" x14ac:dyDescent="0.25">
      <c r="D23" t="s">
        <v>12</v>
      </c>
      <c r="E23" s="4">
        <f>14.88/14</f>
        <v>1.0628571428571429</v>
      </c>
      <c r="F23" s="4">
        <f>(1.47+1.1)/2</f>
        <v>1.2850000000000001</v>
      </c>
      <c r="G23" s="4">
        <f>(1.5+1.07)/2</f>
        <v>1.2850000000000001</v>
      </c>
      <c r="H23" s="4">
        <f>(1.54+1.53)/2</f>
        <v>1.5350000000000001</v>
      </c>
      <c r="I23" s="4">
        <f>(1.89+1.82)/2</f>
        <v>1.855</v>
      </c>
      <c r="J23">
        <v>1.0628571428571429</v>
      </c>
    </row>
    <row r="24" spans="3:23" x14ac:dyDescent="0.25">
      <c r="C24" t="s">
        <v>16</v>
      </c>
      <c r="D24" t="s">
        <v>8</v>
      </c>
      <c r="E24" s="4">
        <v>1.325</v>
      </c>
      <c r="F24" s="4">
        <f>(1.63+2.5)/2</f>
        <v>2.0649999999999999</v>
      </c>
      <c r="G24" s="4">
        <f>(1.87+1.79)/2</f>
        <v>1.83</v>
      </c>
      <c r="H24" s="4">
        <f>(1.38+1.78)/2</f>
        <v>1.58</v>
      </c>
      <c r="I24" s="4">
        <f>(1.8+1.46)/2</f>
        <v>1.63</v>
      </c>
      <c r="J24">
        <v>1.325</v>
      </c>
    </row>
    <row r="25" spans="3:23" x14ac:dyDescent="0.25">
      <c r="D25" t="s">
        <v>9</v>
      </c>
      <c r="E25" s="4">
        <v>1.325</v>
      </c>
      <c r="F25" s="4">
        <f>(1.96+1.41)/2</f>
        <v>1.6850000000000001</v>
      </c>
      <c r="G25" s="4">
        <f>(1.05+1.04)/2</f>
        <v>1.0449999999999999</v>
      </c>
      <c r="H25" s="4">
        <f>(1.65+0.73)/2</f>
        <v>1.19</v>
      </c>
      <c r="I25" s="4">
        <f>(2.21+1.56)/2</f>
        <v>1.885</v>
      </c>
      <c r="J25">
        <v>1.325</v>
      </c>
    </row>
    <row r="26" spans="3:23" x14ac:dyDescent="0.25">
      <c r="D26" t="s">
        <v>10</v>
      </c>
      <c r="E26" s="4">
        <f>17.06/14</f>
        <v>1.2185714285714284</v>
      </c>
      <c r="F26" s="4">
        <f>(1.38+1.92)/2</f>
        <v>1.65</v>
      </c>
      <c r="G26" s="4">
        <f>(1.7+1.35)/2</f>
        <v>1.5249999999999999</v>
      </c>
      <c r="H26" s="4">
        <f>(1.24+0.97)/2</f>
        <v>1.105</v>
      </c>
      <c r="I26" s="4">
        <f>(2.44+2.14)/2</f>
        <v>2.29</v>
      </c>
      <c r="J26">
        <v>1.2185714285714284</v>
      </c>
    </row>
    <row r="27" spans="3:23" x14ac:dyDescent="0.25">
      <c r="D27" t="s">
        <v>11</v>
      </c>
      <c r="E27" s="4">
        <f>19.96/14</f>
        <v>1.4257142857142857</v>
      </c>
      <c r="F27" s="4">
        <f>(1.78+0.94)/2</f>
        <v>1.3599999999999999</v>
      </c>
      <c r="G27" s="4">
        <f>(1.65+1.35)/2</f>
        <v>1.5</v>
      </c>
      <c r="H27" s="4">
        <f>(1.34+1.39)/2</f>
        <v>1.365</v>
      </c>
      <c r="I27" s="4">
        <f>(1.86+1.69)/2</f>
        <v>1.7749999999999999</v>
      </c>
      <c r="J27">
        <v>1.4257142857142857</v>
      </c>
    </row>
    <row r="28" spans="3:23" x14ac:dyDescent="0.25">
      <c r="D28" t="s">
        <v>12</v>
      </c>
      <c r="E28" s="4">
        <f>20.54/14</f>
        <v>1.4671428571428571</v>
      </c>
      <c r="F28" s="4">
        <f>(1.03+1.67)/2</f>
        <v>1.35</v>
      </c>
      <c r="G28" s="4">
        <f>(1.91+1.14)/2</f>
        <v>1.5249999999999999</v>
      </c>
      <c r="H28" s="4">
        <f>(1.09+1.89)/2</f>
        <v>1.49</v>
      </c>
      <c r="I28" s="4">
        <f>(1.33+2.3)/2</f>
        <v>1.8149999999999999</v>
      </c>
      <c r="J28">
        <v>1.4671428571428571</v>
      </c>
    </row>
    <row r="29" spans="3:23" x14ac:dyDescent="0.25">
      <c r="C29" t="s">
        <v>17</v>
      </c>
      <c r="D29" t="s">
        <v>8</v>
      </c>
      <c r="E29" s="4">
        <v>4.32</v>
      </c>
      <c r="F29" s="4">
        <v>4.32</v>
      </c>
      <c r="G29" s="4">
        <v>4.32</v>
      </c>
      <c r="H29" s="4">
        <v>4.32</v>
      </c>
      <c r="I29" s="4">
        <f>(4.49+4.15)/2</f>
        <v>4.32</v>
      </c>
      <c r="J29">
        <v>4.32</v>
      </c>
    </row>
    <row r="30" spans="3:23" x14ac:dyDescent="0.25">
      <c r="D30" t="s">
        <v>9</v>
      </c>
      <c r="E30" s="4">
        <v>5.32</v>
      </c>
      <c r="F30" s="4">
        <v>5.32</v>
      </c>
      <c r="G30" s="4">
        <v>5.32</v>
      </c>
      <c r="H30" s="4">
        <v>5.32</v>
      </c>
      <c r="I30" s="4">
        <f>(5.88+4.76)/2</f>
        <v>5.32</v>
      </c>
      <c r="J30">
        <v>5.32</v>
      </c>
    </row>
    <row r="31" spans="3:23" x14ac:dyDescent="0.25">
      <c r="D31" t="s">
        <v>10</v>
      </c>
      <c r="E31" s="4">
        <v>3.5950000000000002</v>
      </c>
      <c r="F31" s="4">
        <v>3.5950000000000002</v>
      </c>
      <c r="G31" s="4">
        <v>3.5950000000000002</v>
      </c>
      <c r="H31" s="4">
        <v>3.5950000000000002</v>
      </c>
      <c r="I31" s="4">
        <f>(4.23+2.96)/2</f>
        <v>3.5950000000000002</v>
      </c>
      <c r="J31">
        <v>3.5950000000000002</v>
      </c>
    </row>
    <row r="32" spans="3:23" x14ac:dyDescent="0.25">
      <c r="D32" t="s">
        <v>11</v>
      </c>
      <c r="E32" s="4">
        <v>5.52</v>
      </c>
      <c r="F32" s="4">
        <v>5.52</v>
      </c>
      <c r="G32" s="4">
        <v>5.52</v>
      </c>
      <c r="H32" s="4">
        <v>5.52</v>
      </c>
      <c r="I32" s="4">
        <f>(5.15+5.89)/2</f>
        <v>5.52</v>
      </c>
      <c r="J32">
        <v>5.52</v>
      </c>
    </row>
    <row r="33" spans="4:10" x14ac:dyDescent="0.25">
      <c r="D33" t="s">
        <v>12</v>
      </c>
      <c r="E33" s="4">
        <v>3.83</v>
      </c>
      <c r="F33" s="4">
        <v>3.83</v>
      </c>
      <c r="G33" s="4">
        <v>3.83</v>
      </c>
      <c r="H33" s="4">
        <v>3.83</v>
      </c>
      <c r="I33" s="4">
        <f>(4.57+3.09)/2</f>
        <v>3.83</v>
      </c>
      <c r="J33">
        <v>3.83</v>
      </c>
    </row>
    <row r="34" spans="4:10" x14ac:dyDescent="0.25">
      <c r="J34">
        <v>1.05</v>
      </c>
    </row>
    <row r="35" spans="4:10" x14ac:dyDescent="0.25">
      <c r="J35">
        <v>0.60499999999999998</v>
      </c>
    </row>
    <row r="36" spans="4:10" x14ac:dyDescent="0.25">
      <c r="J36">
        <v>0.75</v>
      </c>
    </row>
    <row r="37" spans="4:10" x14ac:dyDescent="0.25">
      <c r="J37">
        <v>0.74</v>
      </c>
    </row>
    <row r="38" spans="4:10" x14ac:dyDescent="0.25">
      <c r="J38">
        <v>0.62</v>
      </c>
    </row>
    <row r="39" spans="4:10" x14ac:dyDescent="0.25">
      <c r="J39">
        <v>0.82</v>
      </c>
    </row>
    <row r="40" spans="4:10" x14ac:dyDescent="0.25">
      <c r="J40">
        <v>1.91</v>
      </c>
    </row>
    <row r="41" spans="4:10" x14ac:dyDescent="0.25">
      <c r="J41">
        <v>0.81499999999999995</v>
      </c>
    </row>
    <row r="42" spans="4:10" x14ac:dyDescent="0.25">
      <c r="J42">
        <v>2.4750000000000001</v>
      </c>
    </row>
    <row r="43" spans="4:10" x14ac:dyDescent="0.25">
      <c r="J43">
        <v>1.65</v>
      </c>
    </row>
    <row r="44" spans="4:10" x14ac:dyDescent="0.25">
      <c r="J44">
        <v>0.81499999999999995</v>
      </c>
    </row>
    <row r="45" spans="4:10" x14ac:dyDescent="0.25">
      <c r="J45">
        <v>1.9750000000000001</v>
      </c>
    </row>
    <row r="46" spans="4:10" x14ac:dyDescent="0.25">
      <c r="J46">
        <v>1.115</v>
      </c>
    </row>
    <row r="47" spans="4:10" x14ac:dyDescent="0.25">
      <c r="J47">
        <v>1.24</v>
      </c>
    </row>
    <row r="48" spans="4:10" x14ac:dyDescent="0.25">
      <c r="J48">
        <v>1.375</v>
      </c>
    </row>
    <row r="49" spans="10:10" x14ac:dyDescent="0.25">
      <c r="J49">
        <v>1.01</v>
      </c>
    </row>
    <row r="50" spans="10:10" x14ac:dyDescent="0.25">
      <c r="J50">
        <v>1.35</v>
      </c>
    </row>
    <row r="51" spans="10:10" x14ac:dyDescent="0.25">
      <c r="J51">
        <v>1.155</v>
      </c>
    </row>
    <row r="52" spans="10:10" x14ac:dyDescent="0.25">
      <c r="J52">
        <v>1.75</v>
      </c>
    </row>
    <row r="53" spans="10:10" x14ac:dyDescent="0.25">
      <c r="J53">
        <v>1.2850000000000001</v>
      </c>
    </row>
    <row r="54" spans="10:10" x14ac:dyDescent="0.25">
      <c r="J54">
        <v>2.0649999999999999</v>
      </c>
    </row>
    <row r="55" spans="10:10" x14ac:dyDescent="0.25">
      <c r="J55">
        <v>1.6850000000000001</v>
      </c>
    </row>
    <row r="56" spans="10:10" x14ac:dyDescent="0.25">
      <c r="J56">
        <v>1.65</v>
      </c>
    </row>
    <row r="57" spans="10:10" x14ac:dyDescent="0.25">
      <c r="J57">
        <v>1.3599999999999999</v>
      </c>
    </row>
    <row r="58" spans="10:10" x14ac:dyDescent="0.25">
      <c r="J58">
        <v>1.35</v>
      </c>
    </row>
    <row r="59" spans="10:10" x14ac:dyDescent="0.25">
      <c r="J59">
        <v>4.32</v>
      </c>
    </row>
    <row r="60" spans="10:10" x14ac:dyDescent="0.25">
      <c r="J60">
        <v>5.32</v>
      </c>
    </row>
    <row r="61" spans="10:10" x14ac:dyDescent="0.25">
      <c r="J61">
        <v>3.5950000000000002</v>
      </c>
    </row>
    <row r="62" spans="10:10" x14ac:dyDescent="0.25">
      <c r="J62">
        <v>5.52</v>
      </c>
    </row>
    <row r="63" spans="10:10" x14ac:dyDescent="0.25">
      <c r="J63">
        <v>3.83</v>
      </c>
    </row>
    <row r="64" spans="10:10" x14ac:dyDescent="0.25">
      <c r="J64">
        <v>1.915</v>
      </c>
    </row>
    <row r="65" spans="10:10" x14ac:dyDescent="0.25">
      <c r="J65">
        <v>1.7</v>
      </c>
    </row>
    <row r="66" spans="10:10" x14ac:dyDescent="0.25">
      <c r="J66">
        <v>1.26</v>
      </c>
    </row>
    <row r="67" spans="10:10" x14ac:dyDescent="0.25">
      <c r="J67">
        <v>1.0150000000000001</v>
      </c>
    </row>
    <row r="68" spans="10:10" x14ac:dyDescent="0.25">
      <c r="J68">
        <v>0.96500000000000008</v>
      </c>
    </row>
    <row r="69" spans="10:10" x14ac:dyDescent="0.25">
      <c r="J69">
        <v>1.33</v>
      </c>
    </row>
    <row r="70" spans="10:10" x14ac:dyDescent="0.25">
      <c r="J70">
        <v>1.33</v>
      </c>
    </row>
    <row r="71" spans="10:10" x14ac:dyDescent="0.25">
      <c r="J71">
        <v>1.0549999999999999</v>
      </c>
    </row>
    <row r="72" spans="10:10" x14ac:dyDescent="0.25">
      <c r="J72">
        <v>1.2949999999999999</v>
      </c>
    </row>
    <row r="73" spans="10:10" x14ac:dyDescent="0.25">
      <c r="J73">
        <v>1.355</v>
      </c>
    </row>
    <row r="74" spans="10:10" x14ac:dyDescent="0.25">
      <c r="J74">
        <v>1.125</v>
      </c>
    </row>
    <row r="75" spans="10:10" x14ac:dyDescent="0.25">
      <c r="J75">
        <v>1.2149999999999999</v>
      </c>
    </row>
    <row r="76" spans="10:10" x14ac:dyDescent="0.25">
      <c r="J76">
        <v>1.38</v>
      </c>
    </row>
    <row r="77" spans="10:10" x14ac:dyDescent="0.25">
      <c r="J77">
        <v>1.645</v>
      </c>
    </row>
    <row r="78" spans="10:10" x14ac:dyDescent="0.25">
      <c r="J78">
        <v>1.19</v>
      </c>
    </row>
    <row r="79" spans="10:10" x14ac:dyDescent="0.25">
      <c r="J79">
        <v>1.1499999999999999</v>
      </c>
    </row>
    <row r="80" spans="10:10" x14ac:dyDescent="0.25">
      <c r="J80">
        <v>1.8149999999999999</v>
      </c>
    </row>
    <row r="81" spans="10:10" x14ac:dyDescent="0.25">
      <c r="J81">
        <v>1.1400000000000001</v>
      </c>
    </row>
    <row r="82" spans="10:10" x14ac:dyDescent="0.25">
      <c r="J82">
        <v>1.28</v>
      </c>
    </row>
    <row r="83" spans="10:10" x14ac:dyDescent="0.25">
      <c r="J83">
        <v>1.2850000000000001</v>
      </c>
    </row>
    <row r="84" spans="10:10" x14ac:dyDescent="0.25">
      <c r="J84">
        <v>1.83</v>
      </c>
    </row>
    <row r="85" spans="10:10" x14ac:dyDescent="0.25">
      <c r="J85">
        <v>1.0449999999999999</v>
      </c>
    </row>
    <row r="86" spans="10:10" x14ac:dyDescent="0.25">
      <c r="J86">
        <v>1.5249999999999999</v>
      </c>
    </row>
    <row r="87" spans="10:10" x14ac:dyDescent="0.25">
      <c r="J87">
        <v>1.5</v>
      </c>
    </row>
    <row r="88" spans="10:10" x14ac:dyDescent="0.25">
      <c r="J88">
        <v>1.5249999999999999</v>
      </c>
    </row>
    <row r="89" spans="10:10" x14ac:dyDescent="0.25">
      <c r="J89">
        <v>4.32</v>
      </c>
    </row>
    <row r="90" spans="10:10" x14ac:dyDescent="0.25">
      <c r="J90">
        <v>5.32</v>
      </c>
    </row>
    <row r="91" spans="10:10" x14ac:dyDescent="0.25">
      <c r="J91">
        <v>3.5950000000000002</v>
      </c>
    </row>
    <row r="92" spans="10:10" x14ac:dyDescent="0.25">
      <c r="J92">
        <v>5.52</v>
      </c>
    </row>
    <row r="93" spans="10:10" x14ac:dyDescent="0.25">
      <c r="J93">
        <v>3.83</v>
      </c>
    </row>
    <row r="94" spans="10:10" x14ac:dyDescent="0.25">
      <c r="J94">
        <v>0.65500000000000003</v>
      </c>
    </row>
    <row r="95" spans="10:10" x14ac:dyDescent="0.25">
      <c r="J95">
        <v>1.4</v>
      </c>
    </row>
    <row r="96" spans="10:10" x14ac:dyDescent="0.25">
      <c r="J96">
        <v>1.1850000000000001</v>
      </c>
    </row>
    <row r="97" spans="10:10" x14ac:dyDescent="0.25">
      <c r="J97">
        <v>0.88500000000000001</v>
      </c>
    </row>
    <row r="98" spans="10:10" x14ac:dyDescent="0.25">
      <c r="J98">
        <v>0.80999999999999994</v>
      </c>
    </row>
    <row r="99" spans="10:10" x14ac:dyDescent="0.25">
      <c r="J99">
        <v>1.0900000000000001</v>
      </c>
    </row>
    <row r="100" spans="10:10" x14ac:dyDescent="0.25">
      <c r="J100">
        <v>1.08</v>
      </c>
    </row>
    <row r="101" spans="10:10" x14ac:dyDescent="0.25">
      <c r="J101">
        <v>1.4500000000000002</v>
      </c>
    </row>
    <row r="102" spans="10:10" x14ac:dyDescent="0.25">
      <c r="J102">
        <v>1.1850000000000001</v>
      </c>
    </row>
    <row r="103" spans="10:10" x14ac:dyDescent="0.25">
      <c r="J103">
        <v>0.92999999999999994</v>
      </c>
    </row>
    <row r="104" spans="10:10" x14ac:dyDescent="0.25">
      <c r="J104">
        <v>1.2650000000000001</v>
      </c>
    </row>
    <row r="105" spans="10:10" x14ac:dyDescent="0.25">
      <c r="J105">
        <v>1.3</v>
      </c>
    </row>
    <row r="106" spans="10:10" x14ac:dyDescent="0.25">
      <c r="J106">
        <v>1.4300000000000002</v>
      </c>
    </row>
    <row r="107" spans="10:10" x14ac:dyDescent="0.25">
      <c r="J107">
        <v>1.1549999999999998</v>
      </c>
    </row>
    <row r="108" spans="10:10" x14ac:dyDescent="0.25">
      <c r="J108">
        <v>1.2949999999999999</v>
      </c>
    </row>
    <row r="109" spans="10:10" x14ac:dyDescent="0.25">
      <c r="J109">
        <v>1.355</v>
      </c>
    </row>
    <row r="110" spans="10:10" x14ac:dyDescent="0.25">
      <c r="J110">
        <v>1.2149999999999999</v>
      </c>
    </row>
    <row r="111" spans="10:10" x14ac:dyDescent="0.25">
      <c r="J111">
        <v>1.7</v>
      </c>
    </row>
    <row r="112" spans="10:10" x14ac:dyDescent="0.25">
      <c r="J112">
        <v>1.93</v>
      </c>
    </row>
    <row r="113" spans="10:10" x14ac:dyDescent="0.25">
      <c r="J113">
        <v>1.5350000000000001</v>
      </c>
    </row>
    <row r="114" spans="10:10" x14ac:dyDescent="0.25">
      <c r="J114">
        <v>1.58</v>
      </c>
    </row>
    <row r="115" spans="10:10" x14ac:dyDescent="0.25">
      <c r="J115">
        <v>1.19</v>
      </c>
    </row>
    <row r="116" spans="10:10" x14ac:dyDescent="0.25">
      <c r="J116">
        <v>1.105</v>
      </c>
    </row>
    <row r="117" spans="10:10" x14ac:dyDescent="0.25">
      <c r="J117">
        <v>1.365</v>
      </c>
    </row>
    <row r="118" spans="10:10" x14ac:dyDescent="0.25">
      <c r="J118">
        <v>1.49</v>
      </c>
    </row>
    <row r="119" spans="10:10" x14ac:dyDescent="0.25">
      <c r="J119">
        <v>4.32</v>
      </c>
    </row>
    <row r="120" spans="10:10" x14ac:dyDescent="0.25">
      <c r="J120">
        <v>5.32</v>
      </c>
    </row>
    <row r="121" spans="10:10" x14ac:dyDescent="0.25">
      <c r="J121">
        <v>3.5950000000000002</v>
      </c>
    </row>
    <row r="122" spans="10:10" x14ac:dyDescent="0.25">
      <c r="J122">
        <v>5.52</v>
      </c>
    </row>
    <row r="123" spans="10:10" x14ac:dyDescent="0.25">
      <c r="J123">
        <v>3.83</v>
      </c>
    </row>
    <row r="124" spans="10:10" x14ac:dyDescent="0.25">
      <c r="J124">
        <v>1.8900000000000001</v>
      </c>
    </row>
    <row r="125" spans="10:10" x14ac:dyDescent="0.25">
      <c r="J125">
        <v>1.33</v>
      </c>
    </row>
    <row r="126" spans="10:10" x14ac:dyDescent="0.25">
      <c r="J126">
        <v>1.7450000000000001</v>
      </c>
    </row>
    <row r="127" spans="10:10" x14ac:dyDescent="0.25">
      <c r="J127">
        <v>1.5149999999999999</v>
      </c>
    </row>
    <row r="128" spans="10:10" x14ac:dyDescent="0.25">
      <c r="J128">
        <v>1.1299999999999999</v>
      </c>
    </row>
    <row r="129" spans="10:10" x14ac:dyDescent="0.25">
      <c r="J129">
        <v>1.885</v>
      </c>
    </row>
    <row r="130" spans="10:10" x14ac:dyDescent="0.25">
      <c r="J130">
        <v>1.33</v>
      </c>
    </row>
    <row r="131" spans="10:10" x14ac:dyDescent="0.25">
      <c r="J131">
        <v>1.9849999999999999</v>
      </c>
    </row>
    <row r="132" spans="10:10" x14ac:dyDescent="0.25">
      <c r="J132">
        <v>1.1299999999999999</v>
      </c>
    </row>
    <row r="133" spans="10:10" x14ac:dyDescent="0.25">
      <c r="J133">
        <v>1.585</v>
      </c>
    </row>
    <row r="134" spans="10:10" x14ac:dyDescent="0.25">
      <c r="J134">
        <v>1.5750000000000002</v>
      </c>
    </row>
    <row r="135" spans="10:10" x14ac:dyDescent="0.25">
      <c r="J135">
        <v>1.4300000000000002</v>
      </c>
    </row>
    <row r="136" spans="10:10" x14ac:dyDescent="0.25">
      <c r="J136">
        <v>1.81</v>
      </c>
    </row>
    <row r="137" spans="10:10" x14ac:dyDescent="0.25">
      <c r="J137">
        <v>1.5249999999999999</v>
      </c>
    </row>
    <row r="138" spans="10:10" x14ac:dyDescent="0.25">
      <c r="J138">
        <v>2.2800000000000002</v>
      </c>
    </row>
    <row r="139" spans="10:10" x14ac:dyDescent="0.25">
      <c r="J139">
        <v>1.78</v>
      </c>
    </row>
    <row r="140" spans="10:10" x14ac:dyDescent="0.25">
      <c r="J140">
        <v>1.51</v>
      </c>
    </row>
    <row r="141" spans="10:10" x14ac:dyDescent="0.25">
      <c r="J141">
        <v>2.23</v>
      </c>
    </row>
    <row r="142" spans="10:10" x14ac:dyDescent="0.25">
      <c r="J142">
        <v>2.0249999999999999</v>
      </c>
    </row>
    <row r="143" spans="10:10" x14ac:dyDescent="0.25">
      <c r="J143">
        <v>1.855</v>
      </c>
    </row>
    <row r="144" spans="10:10" x14ac:dyDescent="0.25">
      <c r="J144">
        <v>1.63</v>
      </c>
    </row>
    <row r="145" spans="10:10" x14ac:dyDescent="0.25">
      <c r="J145">
        <v>1.885</v>
      </c>
    </row>
    <row r="146" spans="10:10" x14ac:dyDescent="0.25">
      <c r="J146">
        <v>2.29</v>
      </c>
    </row>
    <row r="147" spans="10:10" x14ac:dyDescent="0.25">
      <c r="J147">
        <v>1.7749999999999999</v>
      </c>
    </row>
    <row r="148" spans="10:10" x14ac:dyDescent="0.25">
      <c r="J148">
        <v>1.8149999999999999</v>
      </c>
    </row>
    <row r="149" spans="10:10" x14ac:dyDescent="0.25">
      <c r="J149">
        <v>4.32</v>
      </c>
    </row>
    <row r="150" spans="10:10" x14ac:dyDescent="0.25">
      <c r="J150">
        <v>5.32</v>
      </c>
    </row>
    <row r="151" spans="10:10" x14ac:dyDescent="0.25">
      <c r="J151">
        <v>3.5950000000000002</v>
      </c>
    </row>
    <row r="152" spans="10:10" x14ac:dyDescent="0.25">
      <c r="J152">
        <v>5.52</v>
      </c>
    </row>
    <row r="153" spans="10:10" x14ac:dyDescent="0.25">
      <c r="J153">
        <v>3.83</v>
      </c>
    </row>
  </sheetData>
  <mergeCells count="2">
    <mergeCell ref="R15:W15"/>
    <mergeCell ref="Q15:Q1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53"/>
  <sheetViews>
    <sheetView topLeftCell="D1" workbookViewId="0">
      <selection activeCell="U6" sqref="U6:U11"/>
    </sheetView>
  </sheetViews>
  <sheetFormatPr defaultRowHeight="15" x14ac:dyDescent="0.25"/>
  <cols>
    <col min="1" max="1" width="6.42578125" bestFit="1" customWidth="1"/>
    <col min="2" max="2" width="12.140625" bestFit="1" customWidth="1"/>
    <col min="3" max="3" width="28.42578125" bestFit="1" customWidth="1"/>
    <col min="4" max="4" width="2.28515625" bestFit="1" customWidth="1"/>
    <col min="5" max="9" width="10.7109375" bestFit="1" customWidth="1"/>
    <col min="10" max="12" width="10.7109375" customWidth="1"/>
    <col min="15" max="15" width="19.7109375" bestFit="1" customWidth="1"/>
    <col min="20" max="20" width="8.5703125" customWidth="1"/>
    <col min="21" max="21" width="16.28515625" bestFit="1" customWidth="1"/>
  </cols>
  <sheetData>
    <row r="1" spans="1:21" x14ac:dyDescent="0.25">
      <c r="A1" s="2" t="s">
        <v>18</v>
      </c>
      <c r="B1" s="2" t="s">
        <v>20</v>
      </c>
      <c r="C1" s="2" t="s">
        <v>1</v>
      </c>
    </row>
    <row r="2" spans="1:21" x14ac:dyDescent="0.25">
      <c r="C2" s="3"/>
      <c r="E2" s="1">
        <v>44775</v>
      </c>
      <c r="F2" s="1">
        <v>44783</v>
      </c>
      <c r="G2" s="1">
        <v>44790</v>
      </c>
      <c r="H2" s="1">
        <v>44808</v>
      </c>
      <c r="I2" s="1">
        <v>44832</v>
      </c>
      <c r="J2" s="1"/>
      <c r="K2" s="1"/>
      <c r="L2" s="1"/>
    </row>
    <row r="3" spans="1:21" x14ac:dyDescent="0.25"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33</v>
      </c>
    </row>
    <row r="4" spans="1:21" x14ac:dyDescent="0.25">
      <c r="C4" t="s">
        <v>7</v>
      </c>
      <c r="D4" t="s">
        <v>8</v>
      </c>
      <c r="E4" s="4">
        <v>0</v>
      </c>
      <c r="F4" s="4">
        <v>0</v>
      </c>
      <c r="G4" s="4">
        <f>(0.51+0.16)/2</f>
        <v>0.33500000000000002</v>
      </c>
      <c r="H4" s="4">
        <f>(0.17+0.13)/2</f>
        <v>0.15000000000000002</v>
      </c>
      <c r="I4" s="4">
        <v>0.6</v>
      </c>
      <c r="J4" s="4">
        <v>0</v>
      </c>
    </row>
    <row r="5" spans="1:21" x14ac:dyDescent="0.25">
      <c r="D5" t="s">
        <v>9</v>
      </c>
      <c r="E5" s="4">
        <f>(4)/8</f>
        <v>0.5</v>
      </c>
      <c r="F5" s="4">
        <v>0</v>
      </c>
      <c r="G5" s="4">
        <v>0.47</v>
      </c>
      <c r="H5" s="4">
        <v>0.32250000000000001</v>
      </c>
      <c r="I5" s="4">
        <v>0.2</v>
      </c>
      <c r="J5" s="4">
        <v>0.5</v>
      </c>
      <c r="P5" t="s">
        <v>2</v>
      </c>
      <c r="Q5" t="s">
        <v>3</v>
      </c>
      <c r="R5" t="s">
        <v>4</v>
      </c>
      <c r="S5" t="s">
        <v>24</v>
      </c>
      <c r="T5" t="s">
        <v>25</v>
      </c>
      <c r="U5" s="16" t="s">
        <v>34</v>
      </c>
    </row>
    <row r="6" spans="1:21" x14ac:dyDescent="0.25">
      <c r="D6" t="s">
        <v>10</v>
      </c>
      <c r="E6" s="4">
        <f>(2.67)/8</f>
        <v>0.33374999999999999</v>
      </c>
      <c r="F6" s="4">
        <v>0.55000000000000004</v>
      </c>
      <c r="G6" s="4">
        <v>0.47</v>
      </c>
      <c r="H6" s="4">
        <f>(0.3+0.44)/2</f>
        <v>0.37</v>
      </c>
      <c r="I6" s="4">
        <v>0.27</v>
      </c>
      <c r="J6" s="4">
        <v>0.33374999999999999</v>
      </c>
      <c r="O6">
        <v>0</v>
      </c>
      <c r="P6" s="4">
        <f>AVERAGE(E29:E33)</f>
        <v>4.5170000000000003</v>
      </c>
      <c r="Q6" s="4">
        <f t="shared" ref="Q6:T6" si="0">AVERAGE(F29:F33)</f>
        <v>4.5170000000000003</v>
      </c>
      <c r="R6" s="4">
        <f t="shared" si="0"/>
        <v>4.5170000000000003</v>
      </c>
      <c r="S6" s="4">
        <f t="shared" si="0"/>
        <v>4.5170000000000003</v>
      </c>
      <c r="T6" s="4">
        <f t="shared" si="0"/>
        <v>4.5170000000000003</v>
      </c>
      <c r="U6" s="17">
        <f>AVERAGE(P6:T6)</f>
        <v>4.5170000000000003</v>
      </c>
    </row>
    <row r="7" spans="1:21" x14ac:dyDescent="0.25">
      <c r="D7" t="s">
        <v>11</v>
      </c>
      <c r="E7" s="4">
        <v>0</v>
      </c>
      <c r="F7" s="4">
        <v>0</v>
      </c>
      <c r="G7" s="4">
        <f>(0.47+0.57)/2</f>
        <v>0.52</v>
      </c>
      <c r="H7" s="4">
        <f>(0.3+0.38)/2</f>
        <v>0.33999999999999997</v>
      </c>
      <c r="I7" s="4">
        <v>0</v>
      </c>
      <c r="J7" s="4">
        <v>0</v>
      </c>
      <c r="O7">
        <v>12.5</v>
      </c>
      <c r="P7" s="4">
        <f>AVERAGE(E24:E28)</f>
        <v>0.32999999999999996</v>
      </c>
      <c r="Q7" s="4">
        <f t="shared" ref="Q7:T7" si="1">AVERAGE(F24:F28)</f>
        <v>0.53700000000000003</v>
      </c>
      <c r="R7" s="4">
        <f t="shared" si="1"/>
        <v>0.90599999999999992</v>
      </c>
      <c r="S7" s="4">
        <f t="shared" si="1"/>
        <v>0.99399999999999999</v>
      </c>
      <c r="T7" s="4">
        <f t="shared" si="1"/>
        <v>1.1000000000000001</v>
      </c>
      <c r="U7" s="17">
        <f t="shared" ref="U7:U11" si="2">AVERAGE(P7:T7)</f>
        <v>0.77339999999999998</v>
      </c>
    </row>
    <row r="8" spans="1:21" x14ac:dyDescent="0.25">
      <c r="D8" t="s">
        <v>12</v>
      </c>
      <c r="E8" s="4">
        <f>(2.65)/8</f>
        <v>0.33124999999999999</v>
      </c>
      <c r="F8" s="4">
        <v>0</v>
      </c>
      <c r="G8" s="4">
        <f>(0.88+0.2)/2</f>
        <v>0.54</v>
      </c>
      <c r="H8" s="4">
        <f>(0.27+0.59)/2</f>
        <v>0.43</v>
      </c>
      <c r="I8" s="4">
        <v>0.2</v>
      </c>
      <c r="J8" s="4">
        <v>0.33124999999999999</v>
      </c>
      <c r="O8">
        <v>25</v>
      </c>
      <c r="P8" s="4">
        <f>AVERAGE(E19:E23)</f>
        <v>0.40732499999999999</v>
      </c>
      <c r="Q8" s="4">
        <f t="shared" ref="Q8:T8" si="3">AVERAGE(F19:F23)</f>
        <v>0.41600000000000004</v>
      </c>
      <c r="R8" s="4">
        <f t="shared" si="3"/>
        <v>0.48399999999999999</v>
      </c>
      <c r="S8" s="4">
        <f t="shared" si="3"/>
        <v>0.71100000000000008</v>
      </c>
      <c r="T8" s="4">
        <f t="shared" si="3"/>
        <v>0.87099999999999989</v>
      </c>
      <c r="U8" s="17">
        <f t="shared" si="2"/>
        <v>0.57786499999999996</v>
      </c>
    </row>
    <row r="9" spans="1:21" x14ac:dyDescent="0.25">
      <c r="C9" t="s">
        <v>13</v>
      </c>
      <c r="D9" t="s">
        <v>8</v>
      </c>
      <c r="E9" s="4">
        <f>(6.86)/8</f>
        <v>0.85750000000000004</v>
      </c>
      <c r="F9" s="4">
        <v>0</v>
      </c>
      <c r="G9" s="4">
        <v>0.56999999999999995</v>
      </c>
      <c r="H9" s="4">
        <v>0.36</v>
      </c>
      <c r="I9" s="4">
        <v>0.47499999999999998</v>
      </c>
      <c r="J9" s="4">
        <v>0.85750000000000004</v>
      </c>
      <c r="O9">
        <v>50</v>
      </c>
      <c r="P9" s="4">
        <f>AVERAGE(E14:E18)</f>
        <v>0.49375000000000002</v>
      </c>
      <c r="Q9" s="4">
        <f t="shared" ref="Q9:S9" si="4">AVERAGE(F14:F18)</f>
        <v>0.28300000000000003</v>
      </c>
      <c r="R9" s="4">
        <f t="shared" si="4"/>
        <v>0.70499999999999996</v>
      </c>
      <c r="S9" s="4">
        <f t="shared" si="4"/>
        <v>0.64900000000000002</v>
      </c>
      <c r="T9" s="4">
        <f>AVERAGE(I14:I18)</f>
        <v>0.57399999999999995</v>
      </c>
      <c r="U9" s="17">
        <f t="shared" si="2"/>
        <v>0.54094999999999993</v>
      </c>
    </row>
    <row r="10" spans="1:21" x14ac:dyDescent="0.25">
      <c r="D10" t="s">
        <v>9</v>
      </c>
      <c r="E10" s="4">
        <f>(2.99)/8</f>
        <v>0.37375000000000003</v>
      </c>
      <c r="F10" s="4">
        <v>0.30499999999999999</v>
      </c>
      <c r="G10" s="4">
        <f>(0.31+0.49)/2</f>
        <v>0.4</v>
      </c>
      <c r="H10" s="4">
        <f>(0.52+0.44)/2</f>
        <v>0.48</v>
      </c>
      <c r="I10" s="4">
        <v>0</v>
      </c>
      <c r="J10" s="4">
        <v>0.37375000000000003</v>
      </c>
      <c r="O10">
        <v>100</v>
      </c>
      <c r="P10" s="4">
        <f>AVERAGE(E9:E13)</f>
        <v>0.59350000000000003</v>
      </c>
      <c r="Q10" s="4">
        <f>AVERAGE(F9:F13)</f>
        <v>0.18099999999999999</v>
      </c>
      <c r="R10" s="4">
        <f>AVERAGE(G9:G13)</f>
        <v>0.56999999999999995</v>
      </c>
      <c r="S10" s="4">
        <f>AVERAGE(H9:H13)</f>
        <v>0.36300000000000004</v>
      </c>
      <c r="T10" s="4">
        <f>AVERAGE(I9:I13)</f>
        <v>0.255</v>
      </c>
      <c r="U10" s="17">
        <f t="shared" si="2"/>
        <v>0.39249999999999996</v>
      </c>
    </row>
    <row r="11" spans="1:21" x14ac:dyDescent="0.25">
      <c r="D11" t="s">
        <v>10</v>
      </c>
      <c r="E11" s="4">
        <f>(8.25)/8</f>
        <v>1.03125</v>
      </c>
      <c r="F11" s="4">
        <f>(0.1+0.21)/2</f>
        <v>0.155</v>
      </c>
      <c r="G11" s="4">
        <v>0.56999999999999995</v>
      </c>
      <c r="H11" s="4">
        <f>(0.46+0)/2</f>
        <v>0.23</v>
      </c>
      <c r="I11" s="4">
        <f>(0.4+0.3)/2</f>
        <v>0.35</v>
      </c>
      <c r="J11" s="4">
        <v>1.03125</v>
      </c>
      <c r="O11">
        <v>200</v>
      </c>
      <c r="P11" s="4">
        <f>AVERAGE(E4:E8)</f>
        <v>0.23300000000000001</v>
      </c>
      <c r="Q11" s="4">
        <f>AVERAGE(F4:F8)</f>
        <v>0.11000000000000001</v>
      </c>
      <c r="R11" s="4">
        <f>AVERAGE(G4:G8)</f>
        <v>0.46699999999999997</v>
      </c>
      <c r="S11" s="4">
        <f>AVERAGE(H4:H8)</f>
        <v>0.32250000000000001</v>
      </c>
      <c r="T11" s="4">
        <f>AVERAGE(I4:I8)</f>
        <v>0.254</v>
      </c>
      <c r="U11" s="17">
        <f t="shared" si="2"/>
        <v>0.27729999999999999</v>
      </c>
    </row>
    <row r="12" spans="1:21" x14ac:dyDescent="0.25">
      <c r="D12" t="s">
        <v>11</v>
      </c>
      <c r="E12" s="4">
        <f>(4.25)/8</f>
        <v>0.53125</v>
      </c>
      <c r="F12" s="4">
        <f>(0.44+0.45)/2</f>
        <v>0.44500000000000001</v>
      </c>
      <c r="G12" s="4">
        <f>(0.5+0.77)/2</f>
        <v>0.63500000000000001</v>
      </c>
      <c r="H12" s="4">
        <f>(0.47+0.46)/2</f>
        <v>0.46499999999999997</v>
      </c>
      <c r="I12" s="4">
        <v>0.45</v>
      </c>
      <c r="J12" s="4">
        <v>0.53125</v>
      </c>
    </row>
    <row r="13" spans="1:21" x14ac:dyDescent="0.25">
      <c r="D13" t="s">
        <v>12</v>
      </c>
      <c r="E13" s="4">
        <f>(1.39)/8</f>
        <v>0.17374999999999999</v>
      </c>
      <c r="F13" s="4">
        <v>0</v>
      </c>
      <c r="G13" s="4">
        <f>(0.61+0.74)/2</f>
        <v>0.67500000000000004</v>
      </c>
      <c r="H13" s="4">
        <f>(0.39+0.17)/2</f>
        <v>0.28000000000000003</v>
      </c>
      <c r="I13" s="4">
        <v>0</v>
      </c>
      <c r="J13" s="4">
        <v>0.17374999999999999</v>
      </c>
      <c r="O13" t="s">
        <v>35</v>
      </c>
      <c r="P13">
        <v>0</v>
      </c>
      <c r="Q13" s="4">
        <f>AVERAGE(P6:P11)</f>
        <v>1.0957625</v>
      </c>
    </row>
    <row r="14" spans="1:21" x14ac:dyDescent="0.25">
      <c r="C14" t="s">
        <v>14</v>
      </c>
      <c r="D14" t="s">
        <v>8</v>
      </c>
      <c r="E14" s="4">
        <f>(3.65)/8</f>
        <v>0.45624999999999999</v>
      </c>
      <c r="F14" s="4">
        <f>(0.6+0.1)/2</f>
        <v>0.35</v>
      </c>
      <c r="G14" s="4">
        <f>(0.48+0.62)/2</f>
        <v>0.55000000000000004</v>
      </c>
      <c r="H14" s="4">
        <f>(0.92+0.82)/2</f>
        <v>0.87</v>
      </c>
      <c r="I14" s="4">
        <f>(0.95+0.83)/2</f>
        <v>0.8899999999999999</v>
      </c>
      <c r="J14" s="4">
        <v>0.45624999999999999</v>
      </c>
      <c r="P14">
        <v>10</v>
      </c>
      <c r="Q14" s="4">
        <f>AVERAGE(Q6:Q11)</f>
        <v>1.0073333333333336</v>
      </c>
    </row>
    <row r="15" spans="1:21" x14ac:dyDescent="0.25">
      <c r="D15" t="s">
        <v>9</v>
      </c>
      <c r="E15" s="4">
        <v>0</v>
      </c>
      <c r="F15" s="4">
        <f>(0.54+0.58)/2</f>
        <v>0.56000000000000005</v>
      </c>
      <c r="G15" s="4">
        <f>(0.56+0.71)/2</f>
        <v>0.63500000000000001</v>
      </c>
      <c r="H15" s="4">
        <f>(0.63+0.24)/2</f>
        <v>0.435</v>
      </c>
      <c r="I15" s="4">
        <f>(0.27+0.18)/2</f>
        <v>0.22500000000000001</v>
      </c>
      <c r="J15" s="4">
        <v>0</v>
      </c>
      <c r="P15">
        <v>20</v>
      </c>
      <c r="Q15" s="4">
        <f>AVERAGE(R6:R11)</f>
        <v>1.2748333333333333</v>
      </c>
    </row>
    <row r="16" spans="1:21" x14ac:dyDescent="0.25">
      <c r="D16" t="s">
        <v>10</v>
      </c>
      <c r="E16" s="4">
        <f>(6.45)/8</f>
        <v>0.80625000000000002</v>
      </c>
      <c r="F16" s="4">
        <v>0</v>
      </c>
      <c r="G16" s="4">
        <f>(0.97+0.93)/2</f>
        <v>0.95</v>
      </c>
      <c r="H16" s="4">
        <f>(0.48+0.56)/2</f>
        <v>0.52</v>
      </c>
      <c r="I16" s="4">
        <f>(0.46+0.68)/2</f>
        <v>0.57000000000000006</v>
      </c>
      <c r="J16" s="4">
        <v>0.80625000000000002</v>
      </c>
      <c r="P16">
        <v>40</v>
      </c>
      <c r="Q16" s="4">
        <f>AVERAGE(S6:S11)</f>
        <v>1.2594166666666669</v>
      </c>
    </row>
    <row r="17" spans="3:17" x14ac:dyDescent="0.25">
      <c r="D17" t="s">
        <v>11</v>
      </c>
      <c r="E17" s="4">
        <f>(3.62)/8</f>
        <v>0.45250000000000001</v>
      </c>
      <c r="F17" s="4">
        <f>(0.33+0.31)/2</f>
        <v>0.32</v>
      </c>
      <c r="G17" s="4">
        <f>(0.15+0.42)/2</f>
        <v>0.28499999999999998</v>
      </c>
      <c r="H17" s="4">
        <f>(0.29+0.44)/2</f>
        <v>0.36499999999999999</v>
      </c>
      <c r="I17" s="4">
        <f>(0.7+0.53)/2</f>
        <v>0.61499999999999999</v>
      </c>
      <c r="J17" s="4">
        <v>0.45250000000000001</v>
      </c>
      <c r="P17">
        <v>60</v>
      </c>
      <c r="Q17" s="4">
        <f>AVERAGE(T6:T11)</f>
        <v>1.2618333333333334</v>
      </c>
    </row>
    <row r="18" spans="3:17" x14ac:dyDescent="0.25">
      <c r="D18" t="s">
        <v>12</v>
      </c>
      <c r="E18" s="4">
        <f>(6.03)/8</f>
        <v>0.75375000000000003</v>
      </c>
      <c r="F18" s="4">
        <f>(0.22+0.15)/2</f>
        <v>0.185</v>
      </c>
      <c r="G18" s="4">
        <f>(1.31+0.9)/2</f>
        <v>1.105</v>
      </c>
      <c r="H18" s="4">
        <f>(1.06+1.05)/2</f>
        <v>1.0550000000000002</v>
      </c>
      <c r="I18" s="4">
        <v>0.56999999999999995</v>
      </c>
      <c r="J18" s="4">
        <v>0.75375000000000003</v>
      </c>
    </row>
    <row r="19" spans="3:17" x14ac:dyDescent="0.25">
      <c r="C19" t="s">
        <v>15</v>
      </c>
      <c r="D19" t="s">
        <v>8</v>
      </c>
      <c r="E19" s="4">
        <f>(4.083)/8</f>
        <v>0.51037500000000002</v>
      </c>
      <c r="F19" s="4">
        <f>(0.26+0.58)/2</f>
        <v>0.42</v>
      </c>
      <c r="G19" s="4">
        <f>(0.96+1.37)/2</f>
        <v>1.165</v>
      </c>
      <c r="H19" s="4">
        <f>(0.6+0.93)/2</f>
        <v>0.76500000000000001</v>
      </c>
      <c r="I19" s="4">
        <f>(0.62+0.45)/2</f>
        <v>0.53500000000000003</v>
      </c>
      <c r="J19" s="4">
        <v>0.51037500000000002</v>
      </c>
    </row>
    <row r="20" spans="3:17" x14ac:dyDescent="0.25">
      <c r="D20" t="s">
        <v>9</v>
      </c>
      <c r="E20" s="4">
        <f>(4.84)/8</f>
        <v>0.60499999999999998</v>
      </c>
      <c r="F20" s="4">
        <f>(0.37+0.35)/2</f>
        <v>0.36</v>
      </c>
      <c r="G20" s="4">
        <f>(0.58+0.98)/2</f>
        <v>0.78</v>
      </c>
      <c r="H20" s="4">
        <f>(0.87+0.59)/2</f>
        <v>0.73</v>
      </c>
      <c r="I20" s="4">
        <f>(0.84+0.8)/2</f>
        <v>0.82000000000000006</v>
      </c>
      <c r="J20" s="4">
        <v>0.60499999999999998</v>
      </c>
    </row>
    <row r="21" spans="3:17" x14ac:dyDescent="0.25">
      <c r="D21" t="s">
        <v>10</v>
      </c>
      <c r="E21" s="4">
        <f>(3.17)/8</f>
        <v>0.39624999999999999</v>
      </c>
      <c r="F21" s="4">
        <f>(0.44+0.21)/2</f>
        <v>0.32500000000000001</v>
      </c>
      <c r="G21" s="4">
        <v>0</v>
      </c>
      <c r="H21" s="4">
        <f>(0.68+1.47)/2</f>
        <v>1.075</v>
      </c>
      <c r="I21" s="4">
        <f>(0.5+0.81)/2</f>
        <v>0.65500000000000003</v>
      </c>
      <c r="J21" s="4">
        <v>0.39624999999999999</v>
      </c>
    </row>
    <row r="22" spans="3:17" x14ac:dyDescent="0.25">
      <c r="D22" t="s">
        <v>11</v>
      </c>
      <c r="E22" s="4">
        <f>(1.6)/8</f>
        <v>0.2</v>
      </c>
      <c r="F22" s="4">
        <f>(0.45+0.43)/2</f>
        <v>0.44</v>
      </c>
      <c r="G22" s="4">
        <v>0</v>
      </c>
      <c r="H22" s="4">
        <f>(0.47+0.24)/2</f>
        <v>0.35499999999999998</v>
      </c>
      <c r="I22" s="4">
        <f>(1.48+1.55)/2</f>
        <v>1.5150000000000001</v>
      </c>
      <c r="J22" s="4">
        <v>0.2</v>
      </c>
    </row>
    <row r="23" spans="3:17" x14ac:dyDescent="0.25">
      <c r="D23" t="s">
        <v>12</v>
      </c>
      <c r="E23" s="4">
        <f>(2.6)/8</f>
        <v>0.32500000000000001</v>
      </c>
      <c r="F23" s="4">
        <f>(0.57+0.5)/2</f>
        <v>0.53499999999999992</v>
      </c>
      <c r="G23" s="4">
        <f>(0.41+0.54)/2</f>
        <v>0.47499999999999998</v>
      </c>
      <c r="H23" s="4">
        <f>(0.56+0.7)/2</f>
        <v>0.63</v>
      </c>
      <c r="I23" s="4">
        <f>(1.18+0.48)/2</f>
        <v>0.83</v>
      </c>
      <c r="J23" s="4">
        <v>0.32500000000000001</v>
      </c>
    </row>
    <row r="24" spans="3:17" x14ac:dyDescent="0.25">
      <c r="C24" t="s">
        <v>16</v>
      </c>
      <c r="D24" t="s">
        <v>8</v>
      </c>
      <c r="E24" s="4">
        <v>0</v>
      </c>
      <c r="F24" s="4">
        <f>(0.34+0.8)/2</f>
        <v>0.57000000000000006</v>
      </c>
      <c r="G24" s="4">
        <f>(1.16+0.76)/2</f>
        <v>0.96</v>
      </c>
      <c r="H24" s="4">
        <f>(1.24+0.41)/2</f>
        <v>0.82499999999999996</v>
      </c>
      <c r="I24" s="4">
        <f>(1.28+1.2)/2</f>
        <v>1.24</v>
      </c>
      <c r="J24" s="4">
        <v>0</v>
      </c>
    </row>
    <row r="25" spans="3:17" x14ac:dyDescent="0.25">
      <c r="D25" t="s">
        <v>9</v>
      </c>
      <c r="E25" s="4">
        <v>0</v>
      </c>
      <c r="F25" s="4">
        <v>0</v>
      </c>
      <c r="G25" s="4">
        <f>(0.85+0.74)/2</f>
        <v>0.79499999999999993</v>
      </c>
      <c r="H25" s="4">
        <f>(1.94+0.6)/2</f>
        <v>1.27</v>
      </c>
      <c r="I25" s="4">
        <f>(1.6+1.57)/2</f>
        <v>1.585</v>
      </c>
      <c r="J25" s="4">
        <v>0</v>
      </c>
    </row>
    <row r="26" spans="3:17" x14ac:dyDescent="0.25">
      <c r="D26" t="s">
        <v>10</v>
      </c>
      <c r="E26" s="4">
        <v>0.83</v>
      </c>
      <c r="F26" s="4">
        <f>(0.6+0.72)/2</f>
        <v>0.65999999999999992</v>
      </c>
      <c r="G26" s="4">
        <f>(1.17+1.02)/2</f>
        <v>1.095</v>
      </c>
      <c r="H26" s="4">
        <f>(1.43+0.27)/2</f>
        <v>0.85</v>
      </c>
      <c r="I26" s="4">
        <f>(0.75+0.59)/2</f>
        <v>0.66999999999999993</v>
      </c>
      <c r="J26" s="4">
        <v>0.83</v>
      </c>
    </row>
    <row r="27" spans="3:17" x14ac:dyDescent="0.25">
      <c r="D27" t="s">
        <v>11</v>
      </c>
      <c r="E27" s="4">
        <v>0.82</v>
      </c>
      <c r="F27" s="4">
        <f>(0.64+0.6)/2</f>
        <v>0.62</v>
      </c>
      <c r="G27" s="4">
        <f>(0.94+0.79)/2</f>
        <v>0.86499999999999999</v>
      </c>
      <c r="H27" s="4">
        <f>(1.68+0.45)/2</f>
        <v>1.0649999999999999</v>
      </c>
      <c r="I27" s="4">
        <f>(1.19+1.08)/2</f>
        <v>1.135</v>
      </c>
      <c r="J27" s="4">
        <v>0.82</v>
      </c>
    </row>
    <row r="28" spans="3:17" x14ac:dyDescent="0.25">
      <c r="D28" t="s">
        <v>12</v>
      </c>
      <c r="E28" s="4">
        <v>0</v>
      </c>
      <c r="F28" s="4">
        <f>(0.85+0.82)/2</f>
        <v>0.83499999999999996</v>
      </c>
      <c r="G28" s="4">
        <f>(0.89+0.74)/2</f>
        <v>0.81499999999999995</v>
      </c>
      <c r="H28" s="4">
        <f>(1.38+0.54)/2</f>
        <v>0.96</v>
      </c>
      <c r="I28" s="4">
        <f>(1.02+0.72)/2</f>
        <v>0.87</v>
      </c>
      <c r="J28" s="4">
        <v>0</v>
      </c>
    </row>
    <row r="29" spans="3:17" x14ac:dyDescent="0.25">
      <c r="C29" t="s">
        <v>17</v>
      </c>
      <c r="D29" t="s">
        <v>8</v>
      </c>
      <c r="E29" s="10">
        <v>4.32</v>
      </c>
      <c r="F29" s="10">
        <v>4.32</v>
      </c>
      <c r="G29" s="10">
        <v>4.32</v>
      </c>
      <c r="H29" s="10">
        <v>4.32</v>
      </c>
      <c r="I29" s="10">
        <v>4.32</v>
      </c>
      <c r="J29" s="10">
        <v>4.32</v>
      </c>
    </row>
    <row r="30" spans="3:17" x14ac:dyDescent="0.25">
      <c r="D30" t="s">
        <v>9</v>
      </c>
      <c r="E30" s="10">
        <v>5.32</v>
      </c>
      <c r="F30" s="10">
        <v>5.32</v>
      </c>
      <c r="G30" s="10">
        <v>5.32</v>
      </c>
      <c r="H30" s="10">
        <v>5.32</v>
      </c>
      <c r="I30" s="10">
        <v>5.32</v>
      </c>
      <c r="J30" s="10">
        <v>5.32</v>
      </c>
    </row>
    <row r="31" spans="3:17" x14ac:dyDescent="0.25">
      <c r="D31" t="s">
        <v>10</v>
      </c>
      <c r="E31" s="10">
        <v>3.5950000000000002</v>
      </c>
      <c r="F31" s="10">
        <v>3.5950000000000002</v>
      </c>
      <c r="G31" s="10">
        <v>3.5950000000000002</v>
      </c>
      <c r="H31" s="10">
        <v>3.5950000000000002</v>
      </c>
      <c r="I31" s="10">
        <v>3.5950000000000002</v>
      </c>
      <c r="J31" s="10">
        <v>3.5950000000000002</v>
      </c>
    </row>
    <row r="32" spans="3:17" x14ac:dyDescent="0.25">
      <c r="D32" t="s">
        <v>11</v>
      </c>
      <c r="E32" s="10">
        <v>5.52</v>
      </c>
      <c r="F32" s="10">
        <v>5.52</v>
      </c>
      <c r="G32" s="10">
        <v>5.52</v>
      </c>
      <c r="H32" s="10">
        <v>5.52</v>
      </c>
      <c r="I32" s="10">
        <v>5.52</v>
      </c>
      <c r="J32" s="10">
        <v>5.52</v>
      </c>
    </row>
    <row r="33" spans="4:10" x14ac:dyDescent="0.25">
      <c r="D33" t="s">
        <v>12</v>
      </c>
      <c r="E33" s="10">
        <v>3.83</v>
      </c>
      <c r="F33" s="10">
        <v>3.83</v>
      </c>
      <c r="G33" s="10">
        <v>3.83</v>
      </c>
      <c r="H33" s="10">
        <v>3.83</v>
      </c>
      <c r="I33" s="10">
        <v>3.83</v>
      </c>
      <c r="J33" s="10">
        <v>3.83</v>
      </c>
    </row>
    <row r="34" spans="4:10" x14ac:dyDescent="0.25">
      <c r="J34" s="4">
        <v>0</v>
      </c>
    </row>
    <row r="35" spans="4:10" x14ac:dyDescent="0.25">
      <c r="J35" s="4">
        <v>0</v>
      </c>
    </row>
    <row r="36" spans="4:10" x14ac:dyDescent="0.25">
      <c r="J36" s="4">
        <v>0.55000000000000004</v>
      </c>
    </row>
    <row r="37" spans="4:10" x14ac:dyDescent="0.25">
      <c r="J37" s="4">
        <v>0</v>
      </c>
    </row>
    <row r="38" spans="4:10" x14ac:dyDescent="0.25">
      <c r="J38" s="4">
        <v>0</v>
      </c>
    </row>
    <row r="39" spans="4:10" x14ac:dyDescent="0.25">
      <c r="J39" s="4">
        <v>0</v>
      </c>
    </row>
    <row r="40" spans="4:10" x14ac:dyDescent="0.25">
      <c r="J40" s="4">
        <v>0.30499999999999999</v>
      </c>
    </row>
    <row r="41" spans="4:10" x14ac:dyDescent="0.25">
      <c r="J41" s="4">
        <v>0.155</v>
      </c>
    </row>
    <row r="42" spans="4:10" x14ac:dyDescent="0.25">
      <c r="J42" s="4">
        <v>0.44500000000000001</v>
      </c>
    </row>
    <row r="43" spans="4:10" x14ac:dyDescent="0.25">
      <c r="J43" s="4">
        <v>0</v>
      </c>
    </row>
    <row r="44" spans="4:10" x14ac:dyDescent="0.25">
      <c r="J44" s="4">
        <v>0.35</v>
      </c>
    </row>
    <row r="45" spans="4:10" x14ac:dyDescent="0.25">
      <c r="J45" s="4">
        <v>0.56000000000000005</v>
      </c>
    </row>
    <row r="46" spans="4:10" x14ac:dyDescent="0.25">
      <c r="J46" s="4">
        <v>0</v>
      </c>
    </row>
    <row r="47" spans="4:10" x14ac:dyDescent="0.25">
      <c r="J47" s="4">
        <v>0.32</v>
      </c>
    </row>
    <row r="48" spans="4:10" x14ac:dyDescent="0.25">
      <c r="J48" s="4">
        <v>0.185</v>
      </c>
    </row>
    <row r="49" spans="10:10" x14ac:dyDescent="0.25">
      <c r="J49" s="4">
        <v>0.42</v>
      </c>
    </row>
    <row r="50" spans="10:10" x14ac:dyDescent="0.25">
      <c r="J50" s="4">
        <v>0.36</v>
      </c>
    </row>
    <row r="51" spans="10:10" x14ac:dyDescent="0.25">
      <c r="J51" s="4">
        <v>0.32500000000000001</v>
      </c>
    </row>
    <row r="52" spans="10:10" x14ac:dyDescent="0.25">
      <c r="J52" s="4">
        <v>0.44</v>
      </c>
    </row>
    <row r="53" spans="10:10" x14ac:dyDescent="0.25">
      <c r="J53" s="4">
        <v>0.53499999999999992</v>
      </c>
    </row>
    <row r="54" spans="10:10" x14ac:dyDescent="0.25">
      <c r="J54" s="4">
        <v>0.57000000000000006</v>
      </c>
    </row>
    <row r="55" spans="10:10" x14ac:dyDescent="0.25">
      <c r="J55" s="4">
        <v>0</v>
      </c>
    </row>
    <row r="56" spans="10:10" x14ac:dyDescent="0.25">
      <c r="J56" s="4">
        <v>0.65999999999999992</v>
      </c>
    </row>
    <row r="57" spans="10:10" x14ac:dyDescent="0.25">
      <c r="J57" s="4">
        <v>0.62</v>
      </c>
    </row>
    <row r="58" spans="10:10" x14ac:dyDescent="0.25">
      <c r="J58" s="4">
        <v>0.83499999999999996</v>
      </c>
    </row>
    <row r="59" spans="10:10" x14ac:dyDescent="0.25">
      <c r="J59" s="10">
        <v>4.32</v>
      </c>
    </row>
    <row r="60" spans="10:10" x14ac:dyDescent="0.25">
      <c r="J60" s="10">
        <v>5.32</v>
      </c>
    </row>
    <row r="61" spans="10:10" x14ac:dyDescent="0.25">
      <c r="J61" s="10">
        <v>3.5950000000000002</v>
      </c>
    </row>
    <row r="62" spans="10:10" x14ac:dyDescent="0.25">
      <c r="J62" s="10">
        <v>5.52</v>
      </c>
    </row>
    <row r="63" spans="10:10" x14ac:dyDescent="0.25">
      <c r="J63" s="10">
        <v>3.83</v>
      </c>
    </row>
    <row r="64" spans="10:10" x14ac:dyDescent="0.25">
      <c r="J64" s="4">
        <v>0.33500000000000002</v>
      </c>
    </row>
    <row r="65" spans="10:10" x14ac:dyDescent="0.25">
      <c r="J65" s="4">
        <v>0.47</v>
      </c>
    </row>
    <row r="66" spans="10:10" x14ac:dyDescent="0.25">
      <c r="J66" s="4">
        <v>0.47</v>
      </c>
    </row>
    <row r="67" spans="10:10" x14ac:dyDescent="0.25">
      <c r="J67" s="4">
        <v>0.52</v>
      </c>
    </row>
    <row r="68" spans="10:10" x14ac:dyDescent="0.25">
      <c r="J68" s="4">
        <v>0.54</v>
      </c>
    </row>
    <row r="69" spans="10:10" x14ac:dyDescent="0.25">
      <c r="J69" s="4">
        <v>0.56999999999999995</v>
      </c>
    </row>
    <row r="70" spans="10:10" x14ac:dyDescent="0.25">
      <c r="J70" s="4">
        <v>0.4</v>
      </c>
    </row>
    <row r="71" spans="10:10" x14ac:dyDescent="0.25">
      <c r="J71" s="4">
        <v>0.56999999999999995</v>
      </c>
    </row>
    <row r="72" spans="10:10" x14ac:dyDescent="0.25">
      <c r="J72" s="4">
        <v>0.63500000000000001</v>
      </c>
    </row>
    <row r="73" spans="10:10" x14ac:dyDescent="0.25">
      <c r="J73" s="4">
        <v>0.67500000000000004</v>
      </c>
    </row>
    <row r="74" spans="10:10" x14ac:dyDescent="0.25">
      <c r="J74" s="4">
        <v>0.55000000000000004</v>
      </c>
    </row>
    <row r="75" spans="10:10" x14ac:dyDescent="0.25">
      <c r="J75" s="4">
        <v>0.63500000000000001</v>
      </c>
    </row>
    <row r="76" spans="10:10" x14ac:dyDescent="0.25">
      <c r="J76" s="4">
        <v>0.95</v>
      </c>
    </row>
    <row r="77" spans="10:10" x14ac:dyDescent="0.25">
      <c r="J77" s="4">
        <v>0.28499999999999998</v>
      </c>
    </row>
    <row r="78" spans="10:10" x14ac:dyDescent="0.25">
      <c r="J78" s="4">
        <v>1.105</v>
      </c>
    </row>
    <row r="79" spans="10:10" x14ac:dyDescent="0.25">
      <c r="J79" s="4">
        <v>1.165</v>
      </c>
    </row>
    <row r="80" spans="10:10" x14ac:dyDescent="0.25">
      <c r="J80" s="4">
        <v>0.78</v>
      </c>
    </row>
    <row r="81" spans="10:10" x14ac:dyDescent="0.25">
      <c r="J81" s="4">
        <v>0</v>
      </c>
    </row>
    <row r="82" spans="10:10" x14ac:dyDescent="0.25">
      <c r="J82" s="4">
        <v>0</v>
      </c>
    </row>
    <row r="83" spans="10:10" x14ac:dyDescent="0.25">
      <c r="J83" s="4">
        <v>0.47499999999999998</v>
      </c>
    </row>
    <row r="84" spans="10:10" x14ac:dyDescent="0.25">
      <c r="J84" s="4">
        <v>0.96</v>
      </c>
    </row>
    <row r="85" spans="10:10" x14ac:dyDescent="0.25">
      <c r="J85" s="4">
        <v>0.79499999999999993</v>
      </c>
    </row>
    <row r="86" spans="10:10" x14ac:dyDescent="0.25">
      <c r="J86" s="4">
        <v>1.095</v>
      </c>
    </row>
    <row r="87" spans="10:10" x14ac:dyDescent="0.25">
      <c r="J87" s="4">
        <v>0.86499999999999999</v>
      </c>
    </row>
    <row r="88" spans="10:10" x14ac:dyDescent="0.25">
      <c r="J88" s="4">
        <v>0.81499999999999995</v>
      </c>
    </row>
    <row r="89" spans="10:10" x14ac:dyDescent="0.25">
      <c r="J89" s="10">
        <v>4.32</v>
      </c>
    </row>
    <row r="90" spans="10:10" x14ac:dyDescent="0.25">
      <c r="J90" s="10">
        <v>5.32</v>
      </c>
    </row>
    <row r="91" spans="10:10" x14ac:dyDescent="0.25">
      <c r="J91" s="10">
        <v>3.5950000000000002</v>
      </c>
    </row>
    <row r="92" spans="10:10" x14ac:dyDescent="0.25">
      <c r="J92" s="10">
        <v>5.52</v>
      </c>
    </row>
    <row r="93" spans="10:10" x14ac:dyDescent="0.25">
      <c r="J93" s="10">
        <v>3.83</v>
      </c>
    </row>
    <row r="94" spans="10:10" x14ac:dyDescent="0.25">
      <c r="J94">
        <v>0.15000000000000002</v>
      </c>
    </row>
    <row r="95" spans="10:10" x14ac:dyDescent="0.25">
      <c r="J95">
        <v>0.32250000000000001</v>
      </c>
    </row>
    <row r="96" spans="10:10" x14ac:dyDescent="0.25">
      <c r="J96">
        <v>0.37</v>
      </c>
    </row>
    <row r="97" spans="10:10" x14ac:dyDescent="0.25">
      <c r="J97">
        <v>0.33999999999999997</v>
      </c>
    </row>
    <row r="98" spans="10:10" x14ac:dyDescent="0.25">
      <c r="J98">
        <v>0.43</v>
      </c>
    </row>
    <row r="99" spans="10:10" x14ac:dyDescent="0.25">
      <c r="J99">
        <v>0.36</v>
      </c>
    </row>
    <row r="100" spans="10:10" x14ac:dyDescent="0.25">
      <c r="J100">
        <v>0.48</v>
      </c>
    </row>
    <row r="101" spans="10:10" x14ac:dyDescent="0.25">
      <c r="J101">
        <v>0.23</v>
      </c>
    </row>
    <row r="102" spans="10:10" x14ac:dyDescent="0.25">
      <c r="J102">
        <v>0.46499999999999997</v>
      </c>
    </row>
    <row r="103" spans="10:10" x14ac:dyDescent="0.25">
      <c r="J103">
        <v>0.28000000000000003</v>
      </c>
    </row>
    <row r="104" spans="10:10" x14ac:dyDescent="0.25">
      <c r="J104">
        <v>0.87</v>
      </c>
    </row>
    <row r="105" spans="10:10" x14ac:dyDescent="0.25">
      <c r="J105">
        <v>0.435</v>
      </c>
    </row>
    <row r="106" spans="10:10" x14ac:dyDescent="0.25">
      <c r="J106">
        <v>0.52</v>
      </c>
    </row>
    <row r="107" spans="10:10" x14ac:dyDescent="0.25">
      <c r="J107">
        <v>0.36499999999999999</v>
      </c>
    </row>
    <row r="108" spans="10:10" x14ac:dyDescent="0.25">
      <c r="J108">
        <v>1.0550000000000002</v>
      </c>
    </row>
    <row r="109" spans="10:10" x14ac:dyDescent="0.25">
      <c r="J109">
        <v>0.76500000000000001</v>
      </c>
    </row>
    <row r="110" spans="10:10" x14ac:dyDescent="0.25">
      <c r="J110">
        <v>0.73</v>
      </c>
    </row>
    <row r="111" spans="10:10" x14ac:dyDescent="0.25">
      <c r="J111">
        <v>1.075</v>
      </c>
    </row>
    <row r="112" spans="10:10" x14ac:dyDescent="0.25">
      <c r="J112">
        <v>0.35499999999999998</v>
      </c>
    </row>
    <row r="113" spans="10:10" x14ac:dyDescent="0.25">
      <c r="J113">
        <v>0.63</v>
      </c>
    </row>
    <row r="114" spans="10:10" x14ac:dyDescent="0.25">
      <c r="J114">
        <v>0.82499999999999996</v>
      </c>
    </row>
    <row r="115" spans="10:10" x14ac:dyDescent="0.25">
      <c r="J115">
        <v>1.27</v>
      </c>
    </row>
    <row r="116" spans="10:10" x14ac:dyDescent="0.25">
      <c r="J116">
        <v>0.85</v>
      </c>
    </row>
    <row r="117" spans="10:10" x14ac:dyDescent="0.25">
      <c r="J117">
        <v>1.0649999999999999</v>
      </c>
    </row>
    <row r="118" spans="10:10" x14ac:dyDescent="0.25">
      <c r="J118">
        <v>0.96</v>
      </c>
    </row>
    <row r="119" spans="10:10" x14ac:dyDescent="0.25">
      <c r="J119">
        <v>4.32</v>
      </c>
    </row>
    <row r="120" spans="10:10" x14ac:dyDescent="0.25">
      <c r="J120">
        <v>5.32</v>
      </c>
    </row>
    <row r="121" spans="10:10" x14ac:dyDescent="0.25">
      <c r="J121">
        <v>3.5950000000000002</v>
      </c>
    </row>
    <row r="122" spans="10:10" x14ac:dyDescent="0.25">
      <c r="J122">
        <v>5.52</v>
      </c>
    </row>
    <row r="123" spans="10:10" x14ac:dyDescent="0.25">
      <c r="J123">
        <v>3.83</v>
      </c>
    </row>
    <row r="124" spans="10:10" x14ac:dyDescent="0.25">
      <c r="J124">
        <v>0.6</v>
      </c>
    </row>
    <row r="125" spans="10:10" x14ac:dyDescent="0.25">
      <c r="J125">
        <v>0.2</v>
      </c>
    </row>
    <row r="126" spans="10:10" x14ac:dyDescent="0.25">
      <c r="J126">
        <v>0.27</v>
      </c>
    </row>
    <row r="127" spans="10:10" x14ac:dyDescent="0.25">
      <c r="J127">
        <v>0</v>
      </c>
    </row>
    <row r="128" spans="10:10" x14ac:dyDescent="0.25">
      <c r="J128">
        <v>0.2</v>
      </c>
    </row>
    <row r="129" spans="10:10" x14ac:dyDescent="0.25">
      <c r="J129">
        <v>0.47499999999999998</v>
      </c>
    </row>
    <row r="130" spans="10:10" x14ac:dyDescent="0.25">
      <c r="J130">
        <v>0</v>
      </c>
    </row>
    <row r="131" spans="10:10" x14ac:dyDescent="0.25">
      <c r="J131">
        <v>0.35</v>
      </c>
    </row>
    <row r="132" spans="10:10" x14ac:dyDescent="0.25">
      <c r="J132">
        <v>0.45</v>
      </c>
    </row>
    <row r="133" spans="10:10" x14ac:dyDescent="0.25">
      <c r="J133">
        <v>0</v>
      </c>
    </row>
    <row r="134" spans="10:10" x14ac:dyDescent="0.25">
      <c r="J134">
        <v>0.8899999999999999</v>
      </c>
    </row>
    <row r="135" spans="10:10" x14ac:dyDescent="0.25">
      <c r="J135">
        <v>0.22500000000000001</v>
      </c>
    </row>
    <row r="136" spans="10:10" x14ac:dyDescent="0.25">
      <c r="J136">
        <v>0.57000000000000006</v>
      </c>
    </row>
    <row r="137" spans="10:10" x14ac:dyDescent="0.25">
      <c r="J137">
        <v>0.61499999999999999</v>
      </c>
    </row>
    <row r="138" spans="10:10" x14ac:dyDescent="0.25">
      <c r="J138">
        <v>0.56999999999999995</v>
      </c>
    </row>
    <row r="139" spans="10:10" x14ac:dyDescent="0.25">
      <c r="J139">
        <v>0.53500000000000003</v>
      </c>
    </row>
    <row r="140" spans="10:10" x14ac:dyDescent="0.25">
      <c r="J140">
        <v>0.82000000000000006</v>
      </c>
    </row>
    <row r="141" spans="10:10" x14ac:dyDescent="0.25">
      <c r="J141">
        <v>0.65500000000000003</v>
      </c>
    </row>
    <row r="142" spans="10:10" x14ac:dyDescent="0.25">
      <c r="J142">
        <v>1.5150000000000001</v>
      </c>
    </row>
    <row r="143" spans="10:10" x14ac:dyDescent="0.25">
      <c r="J143">
        <v>0.83</v>
      </c>
    </row>
    <row r="144" spans="10:10" x14ac:dyDescent="0.25">
      <c r="J144">
        <v>1.24</v>
      </c>
    </row>
    <row r="145" spans="10:10" x14ac:dyDescent="0.25">
      <c r="J145">
        <v>1.585</v>
      </c>
    </row>
    <row r="146" spans="10:10" x14ac:dyDescent="0.25">
      <c r="J146">
        <v>0.66999999999999993</v>
      </c>
    </row>
    <row r="147" spans="10:10" x14ac:dyDescent="0.25">
      <c r="J147">
        <v>1.135</v>
      </c>
    </row>
    <row r="148" spans="10:10" x14ac:dyDescent="0.25">
      <c r="J148">
        <v>0.87</v>
      </c>
    </row>
    <row r="149" spans="10:10" x14ac:dyDescent="0.25">
      <c r="J149">
        <v>4.32</v>
      </c>
    </row>
    <row r="150" spans="10:10" x14ac:dyDescent="0.25">
      <c r="J150">
        <v>5.32</v>
      </c>
    </row>
    <row r="151" spans="10:10" x14ac:dyDescent="0.25">
      <c r="J151">
        <v>3.5950000000000002</v>
      </c>
    </row>
    <row r="152" spans="10:10" x14ac:dyDescent="0.25">
      <c r="J152">
        <v>5.52</v>
      </c>
    </row>
    <row r="153" spans="10:10" x14ac:dyDescent="0.25">
      <c r="J153">
        <v>3.83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53"/>
  <sheetViews>
    <sheetView topLeftCell="G1" workbookViewId="0">
      <selection activeCell="O13" sqref="O13:P17"/>
    </sheetView>
  </sheetViews>
  <sheetFormatPr defaultRowHeight="15" x14ac:dyDescent="0.25"/>
  <cols>
    <col min="1" max="1" width="6.42578125" bestFit="1" customWidth="1"/>
    <col min="2" max="2" width="16.140625" bestFit="1" customWidth="1"/>
    <col min="3" max="3" width="28.42578125" bestFit="1" customWidth="1"/>
    <col min="4" max="4" width="2.28515625" bestFit="1" customWidth="1"/>
    <col min="5" max="9" width="10.7109375" bestFit="1" customWidth="1"/>
    <col min="10" max="10" width="10.7109375" style="11" customWidth="1"/>
    <col min="11" max="13" width="10.7109375" customWidth="1"/>
    <col min="15" max="15" width="17.7109375" bestFit="1" customWidth="1"/>
    <col min="21" max="21" width="14.85546875" bestFit="1" customWidth="1"/>
  </cols>
  <sheetData>
    <row r="1" spans="1:21" x14ac:dyDescent="0.25">
      <c r="A1" s="2" t="s">
        <v>18</v>
      </c>
      <c r="B1" s="2" t="s">
        <v>19</v>
      </c>
      <c r="C1" s="2" t="s">
        <v>1</v>
      </c>
    </row>
    <row r="2" spans="1:21" x14ac:dyDescent="0.25">
      <c r="C2" s="3"/>
      <c r="E2" s="1">
        <v>44775</v>
      </c>
      <c r="F2" s="1">
        <v>44783</v>
      </c>
      <c r="G2" s="1">
        <v>44790</v>
      </c>
      <c r="H2" s="1">
        <v>44808</v>
      </c>
      <c r="I2" s="1">
        <v>44832</v>
      </c>
      <c r="J2" s="12"/>
      <c r="K2" s="1"/>
      <c r="L2" s="1"/>
      <c r="M2" s="1"/>
    </row>
    <row r="3" spans="1:21" x14ac:dyDescent="0.25">
      <c r="E3" t="s">
        <v>2</v>
      </c>
      <c r="F3" t="s">
        <v>3</v>
      </c>
      <c r="G3" t="s">
        <v>4</v>
      </c>
      <c r="H3" t="s">
        <v>5</v>
      </c>
      <c r="I3" t="s">
        <v>6</v>
      </c>
      <c r="J3" s="11" t="s">
        <v>33</v>
      </c>
    </row>
    <row r="4" spans="1:21" x14ac:dyDescent="0.25">
      <c r="C4" t="s">
        <v>7</v>
      </c>
      <c r="D4" t="s">
        <v>8</v>
      </c>
      <c r="E4" s="4">
        <v>1.1371428571428572</v>
      </c>
      <c r="F4" s="4">
        <f>((1.55+0.28))/2</f>
        <v>0.91500000000000004</v>
      </c>
      <c r="G4" s="4">
        <f>(1.47+1.46)/2</f>
        <v>1.4649999999999999</v>
      </c>
      <c r="H4" s="4">
        <f>(1.38+1.02)/2</f>
        <v>1.2</v>
      </c>
      <c r="I4" s="4">
        <v>1.08</v>
      </c>
      <c r="J4" s="10">
        <v>1.1371428571428572</v>
      </c>
    </row>
    <row r="5" spans="1:21" x14ac:dyDescent="0.25">
      <c r="D5" t="s">
        <v>9</v>
      </c>
      <c r="E5" s="4">
        <v>0.98571428571428577</v>
      </c>
      <c r="F5" s="4">
        <f>((0.64+1.4)/2)/2</f>
        <v>0.51</v>
      </c>
      <c r="G5" s="4">
        <f>(1.01+0.69)/2</f>
        <v>0.85</v>
      </c>
      <c r="H5" s="4">
        <f>(1.68+1.32)/2</f>
        <v>1.5</v>
      </c>
      <c r="I5" s="4">
        <f>(1.34+0.98)/2</f>
        <v>1.1600000000000001</v>
      </c>
      <c r="J5" s="10">
        <v>0.98571428571428577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37</v>
      </c>
    </row>
    <row r="6" spans="1:21" x14ac:dyDescent="0.25">
      <c r="D6" t="s">
        <v>10</v>
      </c>
      <c r="E6" s="4">
        <v>1.28</v>
      </c>
      <c r="F6" s="4">
        <f>(0.81+0.56)/2</f>
        <v>0.68500000000000005</v>
      </c>
      <c r="G6" s="4">
        <f>(1.36+0.63)/2</f>
        <v>0.99500000000000011</v>
      </c>
      <c r="H6" s="4">
        <f>(0.78+0.71)/2</f>
        <v>0.745</v>
      </c>
      <c r="I6" s="4">
        <v>1.44</v>
      </c>
      <c r="J6" s="10">
        <v>1.28</v>
      </c>
      <c r="O6">
        <v>0</v>
      </c>
      <c r="P6" s="4">
        <f>AVERAGE(E29:E33)</f>
        <v>4.5170000000000003</v>
      </c>
      <c r="Q6" s="4">
        <f t="shared" ref="Q6:T6" si="0">AVERAGE(F29:F33)</f>
        <v>4.5170000000000003</v>
      </c>
      <c r="R6" s="4">
        <f t="shared" si="0"/>
        <v>4.5170000000000003</v>
      </c>
      <c r="S6" s="4">
        <f t="shared" si="0"/>
        <v>4.5170000000000003</v>
      </c>
      <c r="T6" s="4">
        <f t="shared" si="0"/>
        <v>4.5170000000000003</v>
      </c>
      <c r="U6" s="17">
        <f>AVERAGE(P6:T6)</f>
        <v>4.5170000000000003</v>
      </c>
    </row>
    <row r="7" spans="1:21" x14ac:dyDescent="0.25">
      <c r="D7" t="s">
        <v>11</v>
      </c>
      <c r="E7" s="4">
        <v>0.65571428571428569</v>
      </c>
      <c r="F7" s="4">
        <f>(0.89+0.56)/2</f>
        <v>0.72500000000000009</v>
      </c>
      <c r="G7" s="4">
        <f>(1.04+0.64)/2</f>
        <v>0.84000000000000008</v>
      </c>
      <c r="H7" s="4">
        <f>(0.65+0.78)/2</f>
        <v>0.71500000000000008</v>
      </c>
      <c r="I7" s="4">
        <v>1.22</v>
      </c>
      <c r="J7" s="10">
        <v>0.65571428571428569</v>
      </c>
      <c r="O7">
        <v>75</v>
      </c>
      <c r="P7" s="4">
        <f>AVERAGE(E24:E28)</f>
        <v>0.97628571428571431</v>
      </c>
      <c r="Q7" s="4">
        <f t="shared" ref="Q7:S7" si="1">AVERAGE(F24:F28)</f>
        <v>0.9890000000000001</v>
      </c>
      <c r="R7" s="4">
        <f t="shared" si="1"/>
        <v>1.0210000000000001</v>
      </c>
      <c r="S7" s="4">
        <f t="shared" si="1"/>
        <v>1.0669999999999999</v>
      </c>
      <c r="T7" s="4">
        <f>AVERAGE(I24:I28)</f>
        <v>1.9100000000000001</v>
      </c>
      <c r="U7" s="17">
        <f t="shared" ref="U7:U12" si="2">AVERAGE(P7:T7)</f>
        <v>1.1926571428571431</v>
      </c>
    </row>
    <row r="8" spans="1:21" x14ac:dyDescent="0.25">
      <c r="D8" t="s">
        <v>12</v>
      </c>
      <c r="E8" s="4">
        <v>1.1035714285714284</v>
      </c>
      <c r="F8" s="4">
        <f>(0.89+0.76)/2</f>
        <v>0.82499999999999996</v>
      </c>
      <c r="G8" s="4">
        <f>(1.36+2.67)/2</f>
        <v>2.0150000000000001</v>
      </c>
      <c r="H8" s="4">
        <f>(1.37+1.67)/2</f>
        <v>1.52</v>
      </c>
      <c r="I8" s="4">
        <v>1.34</v>
      </c>
      <c r="J8" s="10">
        <v>1.1035714285714284</v>
      </c>
      <c r="O8">
        <v>150</v>
      </c>
      <c r="P8" s="4">
        <f>AVERAGE(E19:E23)</f>
        <v>1.086857142857143</v>
      </c>
      <c r="Q8" s="4">
        <f t="shared" ref="Q8:T8" si="3">AVERAGE(F19:F23)</f>
        <v>0.96500000000000008</v>
      </c>
      <c r="R8" s="4">
        <f t="shared" si="3"/>
        <v>1.069</v>
      </c>
      <c r="S8" s="4">
        <f t="shared" si="3"/>
        <v>1.2420000000000002</v>
      </c>
      <c r="T8" s="4">
        <f t="shared" si="3"/>
        <v>1.5680000000000001</v>
      </c>
      <c r="U8" s="17">
        <f t="shared" si="2"/>
        <v>1.1861714285714284</v>
      </c>
    </row>
    <row r="9" spans="1:21" x14ac:dyDescent="0.25">
      <c r="C9" t="s">
        <v>13</v>
      </c>
      <c r="D9" t="s">
        <v>8</v>
      </c>
      <c r="E9" s="4">
        <v>0.77571428571428569</v>
      </c>
      <c r="F9" s="4">
        <f>(1.29+0.76)/2</f>
        <v>1.0249999999999999</v>
      </c>
      <c r="G9" s="4">
        <f>(1.77+1.45)/2</f>
        <v>1.6099999999999999</v>
      </c>
      <c r="H9" s="4">
        <f>(2.02+0.66)/2</f>
        <v>1.34</v>
      </c>
      <c r="I9" s="4">
        <f>(1.69+1.12)/2</f>
        <v>1.405</v>
      </c>
      <c r="J9" s="10">
        <v>0.77571428571428569</v>
      </c>
      <c r="O9">
        <v>300</v>
      </c>
      <c r="P9" s="4">
        <f>AVERAGE(E14:E18)</f>
        <v>0.92942857142857138</v>
      </c>
      <c r="Q9" s="4">
        <f t="shared" ref="Q9:T9" si="4">AVERAGE(F14:F18)</f>
        <v>1.107</v>
      </c>
      <c r="R9" s="4">
        <f t="shared" si="4"/>
        <v>1.0708</v>
      </c>
      <c r="S9" s="4">
        <f t="shared" si="4"/>
        <v>1.323</v>
      </c>
      <c r="T9" s="4">
        <f t="shared" si="4"/>
        <v>1.5109999999999999</v>
      </c>
      <c r="U9" s="17">
        <f t="shared" si="2"/>
        <v>1.1882457142857143</v>
      </c>
    </row>
    <row r="10" spans="1:21" x14ac:dyDescent="0.25">
      <c r="D10" t="s">
        <v>9</v>
      </c>
      <c r="E10" s="4">
        <v>0.85571428571428576</v>
      </c>
      <c r="F10" s="4">
        <f>(0.52+0.77)/2</f>
        <v>0.64500000000000002</v>
      </c>
      <c r="G10" s="4">
        <f>(0.97+1.01)/2</f>
        <v>0.99</v>
      </c>
      <c r="H10" s="4">
        <f>(0.87+1)/2</f>
        <v>0.93500000000000005</v>
      </c>
      <c r="I10" s="4">
        <f>(1.96+0.6)/2</f>
        <v>1.28</v>
      </c>
      <c r="J10" s="10">
        <v>0.85571428571428576</v>
      </c>
      <c r="O10">
        <v>600</v>
      </c>
      <c r="P10" s="4">
        <f>AVERAGE(E8:E13)</f>
        <v>1.0266666666666666</v>
      </c>
      <c r="Q10" s="4">
        <f t="shared" ref="Q10:T10" si="5">AVERAGE(F8:F13)</f>
        <v>0.75416666666666676</v>
      </c>
      <c r="R10" s="4">
        <f t="shared" si="5"/>
        <v>1.3674999999999999</v>
      </c>
      <c r="S10" s="4">
        <f t="shared" si="5"/>
        <v>1.1558333333333335</v>
      </c>
      <c r="T10" s="4">
        <f t="shared" si="5"/>
        <v>1.4466666666666665</v>
      </c>
      <c r="U10" s="17">
        <f t="shared" si="2"/>
        <v>1.1501666666666668</v>
      </c>
    </row>
    <row r="11" spans="1:21" x14ac:dyDescent="0.25">
      <c r="D11" t="s">
        <v>10</v>
      </c>
      <c r="E11" s="4">
        <v>1.05</v>
      </c>
      <c r="F11" s="4">
        <f>(0.94+0.74)/2</f>
        <v>0.84</v>
      </c>
      <c r="G11" s="4">
        <f>(1.29+1.57)/2</f>
        <v>1.4300000000000002</v>
      </c>
      <c r="H11" s="4">
        <f>(0.77+1.26)/2</f>
        <v>1.0150000000000001</v>
      </c>
      <c r="I11" s="4">
        <f>(1.47+1.78)/2</f>
        <v>1.625</v>
      </c>
      <c r="J11" s="10">
        <v>1.05</v>
      </c>
      <c r="O11">
        <v>1200</v>
      </c>
      <c r="P11" s="4">
        <f>AVERAGE(E4:E8)</f>
        <v>1.0324285714285715</v>
      </c>
      <c r="Q11" s="4">
        <f t="shared" ref="Q11:S11" si="6">AVERAGE(F4:F8)</f>
        <v>0.73199999999999998</v>
      </c>
      <c r="R11" s="4">
        <f t="shared" si="6"/>
        <v>1.2330000000000001</v>
      </c>
      <c r="S11" s="4">
        <f t="shared" si="6"/>
        <v>1.1359999999999999</v>
      </c>
      <c r="T11" s="4">
        <f>AVERAGE(I4:I8)</f>
        <v>1.248</v>
      </c>
      <c r="U11" s="17">
        <f t="shared" si="2"/>
        <v>1.0762857142857143</v>
      </c>
    </row>
    <row r="12" spans="1:21" x14ac:dyDescent="0.25">
      <c r="D12" t="s">
        <v>11</v>
      </c>
      <c r="E12" s="4">
        <v>0.93928571428571428</v>
      </c>
      <c r="F12" s="4">
        <f>(0.75+0.92)/2</f>
        <v>0.83499999999999996</v>
      </c>
      <c r="G12" s="4">
        <f>(1.03+1.01)/2</f>
        <v>1.02</v>
      </c>
      <c r="H12" s="4">
        <f>(0.52+1.33)/2</f>
        <v>0.92500000000000004</v>
      </c>
      <c r="I12" s="4">
        <v>1.43</v>
      </c>
      <c r="J12" s="10">
        <v>0.93928571428571428</v>
      </c>
      <c r="O12" t="s">
        <v>36</v>
      </c>
      <c r="P12" s="4">
        <f>AVERAGE(P6:P11)</f>
        <v>1.5947777777777778</v>
      </c>
      <c r="Q12" s="4">
        <f t="shared" ref="Q12:T12" si="7">AVERAGE(Q6:Q11)</f>
        <v>1.5106944444444446</v>
      </c>
      <c r="R12" s="4">
        <f t="shared" si="7"/>
        <v>1.7130500000000002</v>
      </c>
      <c r="S12" s="4">
        <f t="shared" si="7"/>
        <v>1.7401388888888889</v>
      </c>
      <c r="T12" s="4">
        <f t="shared" si="7"/>
        <v>2.0334444444444446</v>
      </c>
      <c r="U12" s="17"/>
    </row>
    <row r="13" spans="1:21" x14ac:dyDescent="0.25">
      <c r="D13" t="s">
        <v>12</v>
      </c>
      <c r="E13" s="4">
        <v>1.4357142857142857</v>
      </c>
      <c r="F13" s="4">
        <f>(0.37+0.34)/2</f>
        <v>0.35499999999999998</v>
      </c>
      <c r="G13" s="4">
        <f>(1.04+1.24)/2</f>
        <v>1.1400000000000001</v>
      </c>
      <c r="H13" s="4">
        <f>(1.5+0.9)/2</f>
        <v>1.2</v>
      </c>
      <c r="I13" s="4">
        <f>(1.15+2.05)/2</f>
        <v>1.5999999999999999</v>
      </c>
      <c r="J13" s="10">
        <v>1.4357142857142857</v>
      </c>
      <c r="O13" s="16">
        <v>0</v>
      </c>
      <c r="P13" s="16">
        <v>1.5947777777777778</v>
      </c>
    </row>
    <row r="14" spans="1:21" x14ac:dyDescent="0.25">
      <c r="C14" t="s">
        <v>14</v>
      </c>
      <c r="D14" t="s">
        <v>8</v>
      </c>
      <c r="E14" s="4">
        <v>0.97857142857142854</v>
      </c>
      <c r="F14" s="4">
        <f>(1.04+1.38)/2</f>
        <v>1.21</v>
      </c>
      <c r="G14" s="4">
        <f>(0.88+1.39)/2</f>
        <v>1.135</v>
      </c>
      <c r="H14" s="4">
        <f>(1.82+1.33)/2</f>
        <v>1.5750000000000002</v>
      </c>
      <c r="I14" s="4">
        <f>(1.53+1.53)/2</f>
        <v>1.53</v>
      </c>
      <c r="J14" s="10">
        <v>0.97857142857142854</v>
      </c>
      <c r="O14" s="16">
        <v>10</v>
      </c>
      <c r="P14" s="16">
        <v>1.5106944444444446</v>
      </c>
    </row>
    <row r="15" spans="1:21" x14ac:dyDescent="0.25">
      <c r="D15" t="s">
        <v>9</v>
      </c>
      <c r="E15" s="4">
        <v>0.93</v>
      </c>
      <c r="F15" s="4">
        <f>(0.57+0.66)/2</f>
        <v>0.61499999999999999</v>
      </c>
      <c r="G15" s="4">
        <f>(0.64+1.12)/2</f>
        <v>0.88000000000000012</v>
      </c>
      <c r="H15" s="4">
        <f>(0.44+0.86)/2</f>
        <v>0.65</v>
      </c>
      <c r="I15" s="4">
        <v>1.51</v>
      </c>
      <c r="J15" s="10">
        <v>0.93</v>
      </c>
      <c r="O15" s="16">
        <v>20</v>
      </c>
      <c r="P15" s="16">
        <v>1.7130500000000002</v>
      </c>
    </row>
    <row r="16" spans="1:21" x14ac:dyDescent="0.25">
      <c r="D16" t="s">
        <v>10</v>
      </c>
      <c r="E16" s="4">
        <v>0.80142857142857149</v>
      </c>
      <c r="F16" s="4">
        <f>(1.37+1.2)/2</f>
        <v>1.2850000000000001</v>
      </c>
      <c r="G16" s="4">
        <f>(1.08+0.96)/2</f>
        <v>1.02</v>
      </c>
      <c r="H16" s="4">
        <f>(2.7+1.08)/2</f>
        <v>1.8900000000000001</v>
      </c>
      <c r="I16" s="4">
        <f>(1.22+1.84)/2</f>
        <v>1.53</v>
      </c>
      <c r="J16" s="10">
        <v>0.80142857142857149</v>
      </c>
      <c r="O16" s="16">
        <v>40</v>
      </c>
      <c r="P16" s="16">
        <v>1.7401388888888889</v>
      </c>
    </row>
    <row r="17" spans="3:16" x14ac:dyDescent="0.25">
      <c r="D17" t="s">
        <v>11</v>
      </c>
      <c r="E17" s="4">
        <v>1.002142857142857</v>
      </c>
      <c r="F17" s="4">
        <f>(1.45+0.99)/2</f>
        <v>1.22</v>
      </c>
      <c r="G17" s="4">
        <f>(1.37+1.27)/2</f>
        <v>1.32</v>
      </c>
      <c r="H17" s="4">
        <f>(0.64+1.3)/2</f>
        <v>0.97</v>
      </c>
      <c r="I17" s="4">
        <f>(1.52+1.43)/2</f>
        <v>1.4750000000000001</v>
      </c>
      <c r="J17" s="10">
        <v>1.002142857142857</v>
      </c>
      <c r="O17" s="16">
        <v>60</v>
      </c>
      <c r="P17" s="16">
        <v>2.0334444444444446</v>
      </c>
    </row>
    <row r="18" spans="3:16" x14ac:dyDescent="0.25">
      <c r="D18" t="s">
        <v>12</v>
      </c>
      <c r="E18" s="4">
        <v>0.93499999999999994</v>
      </c>
      <c r="F18" s="4">
        <f>(1.21+1.2)/2</f>
        <v>1.2050000000000001</v>
      </c>
      <c r="G18" s="4">
        <f>(0.81+1.188)/2</f>
        <v>0.999</v>
      </c>
      <c r="H18" s="4">
        <f>(1.7+1.36)/2</f>
        <v>1.53</v>
      </c>
      <c r="I18" s="4">
        <v>1.51</v>
      </c>
      <c r="J18" s="10">
        <v>0.93499999999999994</v>
      </c>
    </row>
    <row r="19" spans="3:16" x14ac:dyDescent="0.25">
      <c r="C19" t="s">
        <v>15</v>
      </c>
      <c r="D19" t="s">
        <v>8</v>
      </c>
      <c r="E19" s="4">
        <v>0.89642857142857146</v>
      </c>
      <c r="F19" s="4">
        <f>(0.41+0.55)/2</f>
        <v>0.48</v>
      </c>
      <c r="G19" s="4">
        <f>(1.5+0.8)/2</f>
        <v>1.1499999999999999</v>
      </c>
      <c r="H19" s="4">
        <f>(1.48+1.43)/2</f>
        <v>1.4550000000000001</v>
      </c>
      <c r="I19" s="4">
        <f>(1.27+1.94)/2</f>
        <v>1.605</v>
      </c>
      <c r="J19" s="10">
        <v>0.89642857142857146</v>
      </c>
    </row>
    <row r="20" spans="3:16" x14ac:dyDescent="0.25">
      <c r="D20" t="s">
        <v>9</v>
      </c>
      <c r="E20" s="4">
        <v>0.91928571428571426</v>
      </c>
      <c r="F20" s="4">
        <f>(1.01+0.56)/2</f>
        <v>0.78500000000000003</v>
      </c>
      <c r="G20" s="4">
        <f>(1.57+1.1)/2</f>
        <v>1.335</v>
      </c>
      <c r="H20" s="4">
        <f>(0.51+1.37)/2</f>
        <v>0.94000000000000006</v>
      </c>
      <c r="I20" s="4">
        <v>1.57</v>
      </c>
      <c r="J20" s="10">
        <v>0.91928571428571426</v>
      </c>
    </row>
    <row r="21" spans="3:16" x14ac:dyDescent="0.25">
      <c r="D21" t="s">
        <v>10</v>
      </c>
      <c r="E21" s="4">
        <v>1.8714285714285714</v>
      </c>
      <c r="F21" s="4">
        <f>(0.76+0.7)/2</f>
        <v>0.73</v>
      </c>
      <c r="G21" s="4">
        <f>(1.2+1.03)/2</f>
        <v>1.115</v>
      </c>
      <c r="H21" s="4">
        <f>(0.9+0.81)/2</f>
        <v>0.85499999999999998</v>
      </c>
      <c r="I21" s="4">
        <f>(1.96+1.61)/2</f>
        <v>1.7850000000000001</v>
      </c>
      <c r="J21" s="10">
        <v>1.8714285714285714</v>
      </c>
    </row>
    <row r="22" spans="3:16" x14ac:dyDescent="0.25">
      <c r="D22" t="s">
        <v>11</v>
      </c>
      <c r="E22" s="4">
        <v>0.82785714285714285</v>
      </c>
      <c r="F22" s="4">
        <f>(1.7+1.62)/2</f>
        <v>1.6600000000000001</v>
      </c>
      <c r="G22" s="4">
        <f>(1.1+0.57)/2</f>
        <v>0.83499999999999996</v>
      </c>
      <c r="H22" s="4">
        <f>(0.94+2.68)/2</f>
        <v>1.81</v>
      </c>
      <c r="I22" s="4">
        <f>(1.53+1.2)/2</f>
        <v>1.365</v>
      </c>
      <c r="J22" s="10">
        <v>0.82785714285714285</v>
      </c>
    </row>
    <row r="23" spans="3:16" x14ac:dyDescent="0.25">
      <c r="D23" t="s">
        <v>12</v>
      </c>
      <c r="E23" s="4">
        <v>0.91928571428571426</v>
      </c>
      <c r="F23" s="4">
        <f>(1.39+0.95)/2</f>
        <v>1.17</v>
      </c>
      <c r="G23" s="4">
        <f>(0.78+1.04)/2</f>
        <v>0.91</v>
      </c>
      <c r="H23" s="4">
        <f>(1.62+0.68)/2</f>
        <v>1.1500000000000001</v>
      </c>
      <c r="I23" s="4">
        <f>(1.2+1.83)/2</f>
        <v>1.5150000000000001</v>
      </c>
      <c r="J23" s="10">
        <v>0.91928571428571426</v>
      </c>
    </row>
    <row r="24" spans="3:16" x14ac:dyDescent="0.25">
      <c r="C24" t="s">
        <v>16</v>
      </c>
      <c r="D24" t="s">
        <v>8</v>
      </c>
      <c r="E24" s="4">
        <v>1.0714285714285714</v>
      </c>
      <c r="F24" s="4">
        <f>(1.5+1.05)/2</f>
        <v>1.2749999999999999</v>
      </c>
      <c r="G24" s="4">
        <f>(0.87+0.75)/2</f>
        <v>0.81</v>
      </c>
      <c r="H24" s="4">
        <f>(1.07+0.8)/2</f>
        <v>0.93500000000000005</v>
      </c>
      <c r="I24" s="4">
        <f>(1.2+1.99)/2</f>
        <v>1.595</v>
      </c>
      <c r="J24" s="10">
        <v>1.0714285714285714</v>
      </c>
    </row>
    <row r="25" spans="3:16" x14ac:dyDescent="0.25">
      <c r="D25" t="s">
        <v>9</v>
      </c>
      <c r="E25" s="4">
        <v>0.81428571428571428</v>
      </c>
      <c r="F25" s="4">
        <v>0</v>
      </c>
      <c r="G25" s="4">
        <f>(1.57+1.1)/2</f>
        <v>1.335</v>
      </c>
      <c r="H25" s="4">
        <f>(1.58+1.5)/2</f>
        <v>1.54</v>
      </c>
      <c r="I25" s="4">
        <f>(1.49+1.51)/2</f>
        <v>1.5</v>
      </c>
      <c r="J25" s="10">
        <v>0.81428571428571428</v>
      </c>
    </row>
    <row r="26" spans="3:16" x14ac:dyDescent="0.25">
      <c r="D26" t="s">
        <v>10</v>
      </c>
      <c r="E26" s="4">
        <v>0.93214285714285716</v>
      </c>
      <c r="F26" s="4">
        <f>(1.59+0.94)/2</f>
        <v>1.2650000000000001</v>
      </c>
      <c r="G26" s="4">
        <f>(1.2+1.03)/2</f>
        <v>1.115</v>
      </c>
      <c r="H26" s="4">
        <f>(0.78+1.4)/2</f>
        <v>1.0899999999999999</v>
      </c>
      <c r="I26" s="4">
        <v>1.91</v>
      </c>
      <c r="J26" s="10">
        <v>0.93214285714285716</v>
      </c>
    </row>
    <row r="27" spans="3:16" x14ac:dyDescent="0.25">
      <c r="D27" t="s">
        <v>11</v>
      </c>
      <c r="E27" s="4">
        <v>0.99142857142857144</v>
      </c>
      <c r="F27" s="4">
        <f>(1.3+1.69)/2</f>
        <v>1.4950000000000001</v>
      </c>
      <c r="G27" s="4">
        <f>(1.1+0.77)/2</f>
        <v>0.93500000000000005</v>
      </c>
      <c r="H27" s="4">
        <f>(0.79+0.89)/2</f>
        <v>0.84000000000000008</v>
      </c>
      <c r="I27" s="4">
        <f>(2.43+1.99)/2</f>
        <v>2.21</v>
      </c>
      <c r="J27" s="10">
        <v>0.99142857142857144</v>
      </c>
    </row>
    <row r="28" spans="3:16" x14ac:dyDescent="0.25">
      <c r="D28" t="s">
        <v>12</v>
      </c>
      <c r="E28" s="4">
        <v>1.0721428571428571</v>
      </c>
      <c r="F28" s="4">
        <f>(0.55+1.27)/2</f>
        <v>0.91</v>
      </c>
      <c r="G28" s="4">
        <f>(0.78+1.04)/2</f>
        <v>0.91</v>
      </c>
      <c r="H28" s="4">
        <f>(0.94+0.92)/2</f>
        <v>0.92999999999999994</v>
      </c>
      <c r="I28" s="4">
        <f>(2.79+1.88)/2</f>
        <v>2.335</v>
      </c>
      <c r="J28" s="10">
        <v>1.0721428571428571</v>
      </c>
    </row>
    <row r="29" spans="3:16" x14ac:dyDescent="0.25">
      <c r="C29" t="s">
        <v>17</v>
      </c>
      <c r="D29" t="s">
        <v>8</v>
      </c>
      <c r="E29" s="4">
        <v>4.32</v>
      </c>
      <c r="F29">
        <v>4.32</v>
      </c>
      <c r="G29">
        <v>4.32</v>
      </c>
      <c r="H29">
        <v>4.32</v>
      </c>
      <c r="I29" s="4">
        <v>4.32</v>
      </c>
      <c r="J29" s="10">
        <v>4.32</v>
      </c>
    </row>
    <row r="30" spans="3:16" x14ac:dyDescent="0.25">
      <c r="D30" t="s">
        <v>9</v>
      </c>
      <c r="E30" s="4">
        <v>5.32</v>
      </c>
      <c r="F30">
        <v>5.32</v>
      </c>
      <c r="G30">
        <v>5.32</v>
      </c>
      <c r="H30">
        <v>5.32</v>
      </c>
      <c r="I30" s="4">
        <v>5.32</v>
      </c>
      <c r="J30" s="10">
        <v>5.32</v>
      </c>
    </row>
    <row r="31" spans="3:16" x14ac:dyDescent="0.25">
      <c r="D31" t="s">
        <v>10</v>
      </c>
      <c r="E31" s="4">
        <v>3.5950000000000002</v>
      </c>
      <c r="F31">
        <v>3.5950000000000002</v>
      </c>
      <c r="G31">
        <v>3.5950000000000002</v>
      </c>
      <c r="H31">
        <v>3.5950000000000002</v>
      </c>
      <c r="I31" s="4">
        <v>3.5950000000000002</v>
      </c>
      <c r="J31" s="10">
        <v>3.5950000000000002</v>
      </c>
    </row>
    <row r="32" spans="3:16" x14ac:dyDescent="0.25">
      <c r="D32" t="s">
        <v>11</v>
      </c>
      <c r="E32" s="4">
        <v>5.52</v>
      </c>
      <c r="F32">
        <v>5.52</v>
      </c>
      <c r="G32">
        <v>5.52</v>
      </c>
      <c r="H32">
        <v>5.52</v>
      </c>
      <c r="I32" s="4">
        <v>5.52</v>
      </c>
      <c r="J32" s="10">
        <v>5.52</v>
      </c>
    </row>
    <row r="33" spans="4:10" x14ac:dyDescent="0.25">
      <c r="D33" t="s">
        <v>12</v>
      </c>
      <c r="E33" s="4">
        <v>3.83</v>
      </c>
      <c r="F33">
        <v>3.83</v>
      </c>
      <c r="G33">
        <v>3.83</v>
      </c>
      <c r="H33">
        <v>3.83</v>
      </c>
      <c r="I33" s="4">
        <v>3.83</v>
      </c>
      <c r="J33" s="10">
        <v>3.83</v>
      </c>
    </row>
    <row r="34" spans="4:10" x14ac:dyDescent="0.25">
      <c r="J34" s="10">
        <v>0.91500000000000004</v>
      </c>
    </row>
    <row r="35" spans="4:10" x14ac:dyDescent="0.25">
      <c r="J35" s="10">
        <v>0.51</v>
      </c>
    </row>
    <row r="36" spans="4:10" x14ac:dyDescent="0.25">
      <c r="J36" s="10">
        <v>0.68500000000000005</v>
      </c>
    </row>
    <row r="37" spans="4:10" x14ac:dyDescent="0.25">
      <c r="J37" s="10">
        <v>0.72500000000000009</v>
      </c>
    </row>
    <row r="38" spans="4:10" x14ac:dyDescent="0.25">
      <c r="J38" s="10">
        <v>0.82499999999999996</v>
      </c>
    </row>
    <row r="39" spans="4:10" x14ac:dyDescent="0.25">
      <c r="J39" s="10">
        <v>1.0249999999999999</v>
      </c>
    </row>
    <row r="40" spans="4:10" x14ac:dyDescent="0.25">
      <c r="J40" s="10">
        <v>0.64500000000000002</v>
      </c>
    </row>
    <row r="41" spans="4:10" x14ac:dyDescent="0.25">
      <c r="J41" s="10">
        <v>0.84</v>
      </c>
    </row>
    <row r="42" spans="4:10" x14ac:dyDescent="0.25">
      <c r="J42" s="10">
        <v>0.83499999999999996</v>
      </c>
    </row>
    <row r="43" spans="4:10" x14ac:dyDescent="0.25">
      <c r="J43" s="10">
        <v>0.35499999999999998</v>
      </c>
    </row>
    <row r="44" spans="4:10" x14ac:dyDescent="0.25">
      <c r="J44" s="10">
        <v>1.21</v>
      </c>
    </row>
    <row r="45" spans="4:10" x14ac:dyDescent="0.25">
      <c r="J45" s="10">
        <v>0.61499999999999999</v>
      </c>
    </row>
    <row r="46" spans="4:10" x14ac:dyDescent="0.25">
      <c r="J46" s="10">
        <v>1.2850000000000001</v>
      </c>
    </row>
    <row r="47" spans="4:10" x14ac:dyDescent="0.25">
      <c r="J47" s="10">
        <v>1.22</v>
      </c>
    </row>
    <row r="48" spans="4:10" x14ac:dyDescent="0.25">
      <c r="J48" s="10">
        <v>1.2050000000000001</v>
      </c>
    </row>
    <row r="49" spans="10:10" x14ac:dyDescent="0.25">
      <c r="J49" s="10">
        <v>0.48</v>
      </c>
    </row>
    <row r="50" spans="10:10" x14ac:dyDescent="0.25">
      <c r="J50" s="10">
        <v>0.78500000000000003</v>
      </c>
    </row>
    <row r="51" spans="10:10" x14ac:dyDescent="0.25">
      <c r="J51" s="10">
        <v>0.73</v>
      </c>
    </row>
    <row r="52" spans="10:10" x14ac:dyDescent="0.25">
      <c r="J52" s="10">
        <v>1.6600000000000001</v>
      </c>
    </row>
    <row r="53" spans="10:10" x14ac:dyDescent="0.25">
      <c r="J53" s="10">
        <v>1.17</v>
      </c>
    </row>
    <row r="54" spans="10:10" x14ac:dyDescent="0.25">
      <c r="J54" s="10">
        <v>1.2749999999999999</v>
      </c>
    </row>
    <row r="55" spans="10:10" x14ac:dyDescent="0.25">
      <c r="J55" s="10">
        <v>0</v>
      </c>
    </row>
    <row r="56" spans="10:10" x14ac:dyDescent="0.25">
      <c r="J56" s="10">
        <v>1.2650000000000001</v>
      </c>
    </row>
    <row r="57" spans="10:10" x14ac:dyDescent="0.25">
      <c r="J57" s="10">
        <v>1.4950000000000001</v>
      </c>
    </row>
    <row r="58" spans="10:10" x14ac:dyDescent="0.25">
      <c r="J58" s="10">
        <v>0.91</v>
      </c>
    </row>
    <row r="59" spans="10:10" x14ac:dyDescent="0.25">
      <c r="J59" s="10">
        <v>4.32</v>
      </c>
    </row>
    <row r="60" spans="10:10" x14ac:dyDescent="0.25">
      <c r="J60" s="10">
        <v>5.32</v>
      </c>
    </row>
    <row r="61" spans="10:10" x14ac:dyDescent="0.25">
      <c r="J61" s="10">
        <v>3.5950000000000002</v>
      </c>
    </row>
    <row r="62" spans="10:10" x14ac:dyDescent="0.25">
      <c r="J62" s="10">
        <v>5.52</v>
      </c>
    </row>
    <row r="63" spans="10:10" x14ac:dyDescent="0.25">
      <c r="J63" s="10">
        <v>3.83</v>
      </c>
    </row>
    <row r="64" spans="10:10" x14ac:dyDescent="0.25">
      <c r="J64" s="10">
        <v>1.4649999999999999</v>
      </c>
    </row>
    <row r="65" spans="10:10" x14ac:dyDescent="0.25">
      <c r="J65" s="10">
        <v>0.85</v>
      </c>
    </row>
    <row r="66" spans="10:10" x14ac:dyDescent="0.25">
      <c r="J66" s="10">
        <v>0.99500000000000011</v>
      </c>
    </row>
    <row r="67" spans="10:10" x14ac:dyDescent="0.25">
      <c r="J67" s="10">
        <v>0.84000000000000008</v>
      </c>
    </row>
    <row r="68" spans="10:10" x14ac:dyDescent="0.25">
      <c r="J68" s="10">
        <v>2.0150000000000001</v>
      </c>
    </row>
    <row r="69" spans="10:10" x14ac:dyDescent="0.25">
      <c r="J69" s="10">
        <v>1.6099999999999999</v>
      </c>
    </row>
    <row r="70" spans="10:10" x14ac:dyDescent="0.25">
      <c r="J70" s="10">
        <v>0.99</v>
      </c>
    </row>
    <row r="71" spans="10:10" x14ac:dyDescent="0.25">
      <c r="J71" s="10">
        <v>1.4300000000000002</v>
      </c>
    </row>
    <row r="72" spans="10:10" x14ac:dyDescent="0.25">
      <c r="J72" s="10">
        <v>1.02</v>
      </c>
    </row>
    <row r="73" spans="10:10" x14ac:dyDescent="0.25">
      <c r="J73" s="10">
        <v>1.1400000000000001</v>
      </c>
    </row>
    <row r="74" spans="10:10" x14ac:dyDescent="0.25">
      <c r="J74" s="10">
        <v>1.135</v>
      </c>
    </row>
    <row r="75" spans="10:10" x14ac:dyDescent="0.25">
      <c r="J75" s="10">
        <v>0.88000000000000012</v>
      </c>
    </row>
    <row r="76" spans="10:10" x14ac:dyDescent="0.25">
      <c r="J76" s="10">
        <v>1.02</v>
      </c>
    </row>
    <row r="77" spans="10:10" x14ac:dyDescent="0.25">
      <c r="J77" s="10">
        <v>1.32</v>
      </c>
    </row>
    <row r="78" spans="10:10" x14ac:dyDescent="0.25">
      <c r="J78" s="10">
        <v>0.999</v>
      </c>
    </row>
    <row r="79" spans="10:10" x14ac:dyDescent="0.25">
      <c r="J79" s="10">
        <v>1.1499999999999999</v>
      </c>
    </row>
    <row r="80" spans="10:10" x14ac:dyDescent="0.25">
      <c r="J80" s="10">
        <v>1.335</v>
      </c>
    </row>
    <row r="81" spans="10:10" x14ac:dyDescent="0.25">
      <c r="J81" s="10">
        <v>1.115</v>
      </c>
    </row>
    <row r="82" spans="10:10" x14ac:dyDescent="0.25">
      <c r="J82" s="10">
        <v>0.83499999999999996</v>
      </c>
    </row>
    <row r="83" spans="10:10" x14ac:dyDescent="0.25">
      <c r="J83" s="10">
        <v>0.91</v>
      </c>
    </row>
    <row r="84" spans="10:10" x14ac:dyDescent="0.25">
      <c r="J84" s="10">
        <v>0.81</v>
      </c>
    </row>
    <row r="85" spans="10:10" x14ac:dyDescent="0.25">
      <c r="J85" s="10">
        <v>1.335</v>
      </c>
    </row>
    <row r="86" spans="10:10" x14ac:dyDescent="0.25">
      <c r="J86" s="10">
        <v>1.115</v>
      </c>
    </row>
    <row r="87" spans="10:10" x14ac:dyDescent="0.25">
      <c r="J87" s="10">
        <v>0.93500000000000005</v>
      </c>
    </row>
    <row r="88" spans="10:10" x14ac:dyDescent="0.25">
      <c r="J88" s="10">
        <v>0.91</v>
      </c>
    </row>
    <row r="89" spans="10:10" x14ac:dyDescent="0.25">
      <c r="J89" s="10">
        <v>4.32</v>
      </c>
    </row>
    <row r="90" spans="10:10" x14ac:dyDescent="0.25">
      <c r="J90" s="10">
        <v>5.32</v>
      </c>
    </row>
    <row r="91" spans="10:10" x14ac:dyDescent="0.25">
      <c r="J91" s="10">
        <v>3.5950000000000002</v>
      </c>
    </row>
    <row r="92" spans="10:10" x14ac:dyDescent="0.25">
      <c r="J92" s="10">
        <v>5.52</v>
      </c>
    </row>
    <row r="93" spans="10:10" x14ac:dyDescent="0.25">
      <c r="J93" s="10">
        <v>3.83</v>
      </c>
    </row>
    <row r="94" spans="10:10" x14ac:dyDescent="0.25">
      <c r="J94" s="10">
        <v>1.2</v>
      </c>
    </row>
    <row r="95" spans="10:10" x14ac:dyDescent="0.25">
      <c r="J95" s="10">
        <v>1.5</v>
      </c>
    </row>
    <row r="96" spans="10:10" x14ac:dyDescent="0.25">
      <c r="J96" s="10">
        <v>0.745</v>
      </c>
    </row>
    <row r="97" spans="10:10" x14ac:dyDescent="0.25">
      <c r="J97" s="10">
        <v>0.71500000000000008</v>
      </c>
    </row>
    <row r="98" spans="10:10" x14ac:dyDescent="0.25">
      <c r="J98" s="10">
        <v>1.52</v>
      </c>
    </row>
    <row r="99" spans="10:10" x14ac:dyDescent="0.25">
      <c r="J99" s="10">
        <v>1.34</v>
      </c>
    </row>
    <row r="100" spans="10:10" x14ac:dyDescent="0.25">
      <c r="J100" s="10">
        <v>0.93500000000000005</v>
      </c>
    </row>
    <row r="101" spans="10:10" x14ac:dyDescent="0.25">
      <c r="J101" s="10">
        <v>1.0150000000000001</v>
      </c>
    </row>
    <row r="102" spans="10:10" x14ac:dyDescent="0.25">
      <c r="J102" s="10">
        <v>0.92500000000000004</v>
      </c>
    </row>
    <row r="103" spans="10:10" x14ac:dyDescent="0.25">
      <c r="J103" s="10">
        <v>1.2</v>
      </c>
    </row>
    <row r="104" spans="10:10" x14ac:dyDescent="0.25">
      <c r="J104" s="10">
        <v>1.5750000000000002</v>
      </c>
    </row>
    <row r="105" spans="10:10" x14ac:dyDescent="0.25">
      <c r="J105" s="10">
        <v>0.65</v>
      </c>
    </row>
    <row r="106" spans="10:10" x14ac:dyDescent="0.25">
      <c r="J106" s="10">
        <v>1.8900000000000001</v>
      </c>
    </row>
    <row r="107" spans="10:10" x14ac:dyDescent="0.25">
      <c r="J107" s="10">
        <v>0.97</v>
      </c>
    </row>
    <row r="108" spans="10:10" x14ac:dyDescent="0.25">
      <c r="J108" s="10">
        <v>1.53</v>
      </c>
    </row>
    <row r="109" spans="10:10" x14ac:dyDescent="0.25">
      <c r="J109" s="10">
        <v>1.4550000000000001</v>
      </c>
    </row>
    <row r="110" spans="10:10" x14ac:dyDescent="0.25">
      <c r="J110" s="10">
        <v>0.94000000000000006</v>
      </c>
    </row>
    <row r="111" spans="10:10" x14ac:dyDescent="0.25">
      <c r="J111" s="10">
        <v>0.85499999999999998</v>
      </c>
    </row>
    <row r="112" spans="10:10" x14ac:dyDescent="0.25">
      <c r="J112" s="10">
        <v>1.81</v>
      </c>
    </row>
    <row r="113" spans="10:10" x14ac:dyDescent="0.25">
      <c r="J113" s="10">
        <v>1.1500000000000001</v>
      </c>
    </row>
    <row r="114" spans="10:10" x14ac:dyDescent="0.25">
      <c r="J114" s="10">
        <v>0.93500000000000005</v>
      </c>
    </row>
    <row r="115" spans="10:10" x14ac:dyDescent="0.25">
      <c r="J115" s="10">
        <v>1.54</v>
      </c>
    </row>
    <row r="116" spans="10:10" x14ac:dyDescent="0.25">
      <c r="J116" s="10">
        <v>1.0899999999999999</v>
      </c>
    </row>
    <row r="117" spans="10:10" x14ac:dyDescent="0.25">
      <c r="J117" s="10">
        <v>0.84000000000000008</v>
      </c>
    </row>
    <row r="118" spans="10:10" x14ac:dyDescent="0.25">
      <c r="J118" s="10">
        <v>0.92999999999999994</v>
      </c>
    </row>
    <row r="119" spans="10:10" x14ac:dyDescent="0.25">
      <c r="J119" s="10">
        <v>4.32</v>
      </c>
    </row>
    <row r="120" spans="10:10" x14ac:dyDescent="0.25">
      <c r="J120" s="10">
        <v>5.32</v>
      </c>
    </row>
    <row r="121" spans="10:10" x14ac:dyDescent="0.25">
      <c r="J121" s="10">
        <v>3.5950000000000002</v>
      </c>
    </row>
    <row r="122" spans="10:10" x14ac:dyDescent="0.25">
      <c r="J122" s="10">
        <v>5.52</v>
      </c>
    </row>
    <row r="123" spans="10:10" x14ac:dyDescent="0.25">
      <c r="J123" s="10">
        <v>3.83</v>
      </c>
    </row>
    <row r="124" spans="10:10" x14ac:dyDescent="0.25">
      <c r="J124" s="11">
        <v>1.08</v>
      </c>
    </row>
    <row r="125" spans="10:10" x14ac:dyDescent="0.25">
      <c r="J125" s="11">
        <v>1.1600000000000001</v>
      </c>
    </row>
    <row r="126" spans="10:10" x14ac:dyDescent="0.25">
      <c r="J126" s="11">
        <v>1.44</v>
      </c>
    </row>
    <row r="127" spans="10:10" x14ac:dyDescent="0.25">
      <c r="J127" s="11">
        <v>1.22</v>
      </c>
    </row>
    <row r="128" spans="10:10" x14ac:dyDescent="0.25">
      <c r="J128" s="11">
        <v>1.34</v>
      </c>
    </row>
    <row r="129" spans="10:10" x14ac:dyDescent="0.25">
      <c r="J129" s="11">
        <v>1.405</v>
      </c>
    </row>
    <row r="130" spans="10:10" x14ac:dyDescent="0.25">
      <c r="J130" s="11">
        <v>1.28</v>
      </c>
    </row>
    <row r="131" spans="10:10" x14ac:dyDescent="0.25">
      <c r="J131" s="11">
        <v>1.625</v>
      </c>
    </row>
    <row r="132" spans="10:10" x14ac:dyDescent="0.25">
      <c r="J132" s="11">
        <v>1.43</v>
      </c>
    </row>
    <row r="133" spans="10:10" x14ac:dyDescent="0.25">
      <c r="J133" s="11">
        <v>1.5999999999999999</v>
      </c>
    </row>
    <row r="134" spans="10:10" x14ac:dyDescent="0.25">
      <c r="J134" s="11">
        <v>1.53</v>
      </c>
    </row>
    <row r="135" spans="10:10" x14ac:dyDescent="0.25">
      <c r="J135" s="11">
        <v>1.51</v>
      </c>
    </row>
    <row r="136" spans="10:10" x14ac:dyDescent="0.25">
      <c r="J136" s="11">
        <v>1.53</v>
      </c>
    </row>
    <row r="137" spans="10:10" x14ac:dyDescent="0.25">
      <c r="J137" s="11">
        <v>1.4750000000000001</v>
      </c>
    </row>
    <row r="138" spans="10:10" x14ac:dyDescent="0.25">
      <c r="J138" s="11">
        <v>1.51</v>
      </c>
    </row>
    <row r="139" spans="10:10" x14ac:dyDescent="0.25">
      <c r="J139" s="11">
        <v>1.605</v>
      </c>
    </row>
    <row r="140" spans="10:10" x14ac:dyDescent="0.25">
      <c r="J140" s="11">
        <v>1.57</v>
      </c>
    </row>
    <row r="141" spans="10:10" x14ac:dyDescent="0.25">
      <c r="J141" s="11">
        <v>1.7850000000000001</v>
      </c>
    </row>
    <row r="142" spans="10:10" x14ac:dyDescent="0.25">
      <c r="J142" s="11">
        <v>1.365</v>
      </c>
    </row>
    <row r="143" spans="10:10" x14ac:dyDescent="0.25">
      <c r="J143" s="11">
        <v>1.5150000000000001</v>
      </c>
    </row>
    <row r="144" spans="10:10" x14ac:dyDescent="0.25">
      <c r="J144" s="11">
        <v>1.595</v>
      </c>
    </row>
    <row r="145" spans="10:10" x14ac:dyDescent="0.25">
      <c r="J145" s="11">
        <v>1.5</v>
      </c>
    </row>
    <row r="146" spans="10:10" x14ac:dyDescent="0.25">
      <c r="J146" s="11">
        <v>1.91</v>
      </c>
    </row>
    <row r="147" spans="10:10" x14ac:dyDescent="0.25">
      <c r="J147" s="11">
        <v>2.21</v>
      </c>
    </row>
    <row r="148" spans="10:10" x14ac:dyDescent="0.25">
      <c r="J148" s="11">
        <v>2.335</v>
      </c>
    </row>
    <row r="149" spans="10:10" x14ac:dyDescent="0.25">
      <c r="J149" s="11">
        <v>4.32</v>
      </c>
    </row>
    <row r="150" spans="10:10" x14ac:dyDescent="0.25">
      <c r="J150" s="11">
        <v>5.32</v>
      </c>
    </row>
    <row r="151" spans="10:10" x14ac:dyDescent="0.25">
      <c r="J151" s="11">
        <v>3.5950000000000002</v>
      </c>
    </row>
    <row r="152" spans="10:10" x14ac:dyDescent="0.25">
      <c r="J152" s="11">
        <v>5.52</v>
      </c>
    </row>
    <row r="153" spans="10:10" x14ac:dyDescent="0.25">
      <c r="J153" s="11">
        <v>3.83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CLOMAZONE</vt:lpstr>
      <vt:lpstr>INDAZIFLAM</vt:lpstr>
      <vt:lpstr>SULFENTRAZONE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Ferrari S</dc:creator>
  <cp:lastModifiedBy>Bruna Ferrari</cp:lastModifiedBy>
  <dcterms:created xsi:type="dcterms:W3CDTF">2022-10-10T14:39:32Z</dcterms:created>
  <dcterms:modified xsi:type="dcterms:W3CDTF">2023-10-25T18:12:54Z</dcterms:modified>
</cp:coreProperties>
</file>