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129375e4439b47/Desktop/UFSCar/Mestrado/FAPESP/Dados/Soja/"/>
    </mc:Choice>
  </mc:AlternateContent>
  <xr:revisionPtr revIDLastSave="492" documentId="13_ncr:1_{D3FFC9A9-0769-4AF5-9FED-B8B8068097B2}" xr6:coauthVersionLast="47" xr6:coauthVersionMax="47" xr10:uidLastSave="{727631A8-2040-4134-BFF0-918CCA77C92B}"/>
  <bookViews>
    <workbookView xWindow="-120" yWindow="-120" windowWidth="20730" windowHeight="11040" xr2:uid="{20FA89BE-72AE-4C89-87D6-75A4C895AE7F}"/>
  </bookViews>
  <sheets>
    <sheet name="indaz" sheetId="1" r:id="rId1"/>
    <sheet name="sulf" sheetId="2" r:id="rId2"/>
    <sheet name="clomaz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3" l="1"/>
  <c r="Q8" i="3"/>
  <c r="Q9" i="3"/>
  <c r="Q10" i="3"/>
  <c r="Q11" i="3"/>
  <c r="Q6" i="3"/>
  <c r="M17" i="3"/>
  <c r="M16" i="3"/>
  <c r="M15" i="3"/>
  <c r="M14" i="3"/>
  <c r="M13" i="3"/>
  <c r="M11" i="3"/>
  <c r="N11" i="3"/>
  <c r="O11" i="3"/>
  <c r="P11" i="3"/>
  <c r="M10" i="3"/>
  <c r="N10" i="3"/>
  <c r="O10" i="3"/>
  <c r="P10" i="3"/>
  <c r="M9" i="3"/>
  <c r="N9" i="3"/>
  <c r="O9" i="3"/>
  <c r="P9" i="3"/>
  <c r="M8" i="3"/>
  <c r="N8" i="3"/>
  <c r="O8" i="3"/>
  <c r="P8" i="3"/>
  <c r="M7" i="3"/>
  <c r="N7" i="3"/>
  <c r="O7" i="3"/>
  <c r="P7" i="3"/>
  <c r="P6" i="3"/>
  <c r="M6" i="3"/>
  <c r="N6" i="3"/>
  <c r="O6" i="3"/>
  <c r="D28" i="3"/>
  <c r="D27" i="3"/>
  <c r="D26" i="3"/>
  <c r="D25" i="3"/>
  <c r="D24" i="3"/>
  <c r="D23" i="3"/>
  <c r="D21" i="3"/>
  <c r="D20" i="3"/>
  <c r="D19" i="3"/>
  <c r="L11" i="3"/>
  <c r="L10" i="3"/>
  <c r="L9" i="3"/>
  <c r="L6" i="3"/>
  <c r="N18" i="2"/>
  <c r="N17" i="2"/>
  <c r="N16" i="2"/>
  <c r="N15" i="2"/>
  <c r="N14" i="2"/>
  <c r="H17" i="2"/>
  <c r="Q9" i="2" s="1"/>
  <c r="R9" i="2" s="1"/>
  <c r="H26" i="2"/>
  <c r="Q7" i="2" s="1"/>
  <c r="R8" i="2"/>
  <c r="R10" i="2"/>
  <c r="R11" i="2"/>
  <c r="R6" i="2"/>
  <c r="N11" i="2"/>
  <c r="O11" i="2"/>
  <c r="P11" i="2"/>
  <c r="Q11" i="2"/>
  <c r="N10" i="2"/>
  <c r="O10" i="2"/>
  <c r="P10" i="2"/>
  <c r="Q10" i="2"/>
  <c r="N9" i="2"/>
  <c r="O9" i="2"/>
  <c r="P9" i="2"/>
  <c r="N8" i="2"/>
  <c r="O8" i="2"/>
  <c r="P8" i="2"/>
  <c r="Q8" i="2"/>
  <c r="N7" i="2"/>
  <c r="O7" i="2"/>
  <c r="P7" i="2"/>
  <c r="N6" i="2"/>
  <c r="O6" i="2"/>
  <c r="P6" i="2"/>
  <c r="Q6" i="2"/>
  <c r="D5" i="2"/>
  <c r="M11" i="2"/>
  <c r="M10" i="2"/>
  <c r="D17" i="2"/>
  <c r="D16" i="2"/>
  <c r="M9" i="2"/>
  <c r="M8" i="2"/>
  <c r="M7" i="2"/>
  <c r="M6" i="2"/>
  <c r="I153" i="2"/>
  <c r="I152" i="2"/>
  <c r="I151" i="2"/>
  <c r="I150" i="2"/>
  <c r="I149" i="2"/>
  <c r="I148" i="2"/>
  <c r="I147" i="2"/>
  <c r="I146" i="2"/>
  <c r="I145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I125" i="2"/>
  <c r="I124" i="2"/>
  <c r="M11" i="1"/>
  <c r="N11" i="1"/>
  <c r="O11" i="1"/>
  <c r="M10" i="1"/>
  <c r="N10" i="1"/>
  <c r="O10" i="1"/>
  <c r="H19" i="1"/>
  <c r="N9" i="1"/>
  <c r="O9" i="1"/>
  <c r="N8" i="1"/>
  <c r="O8" i="1"/>
  <c r="N7" i="1"/>
  <c r="O7" i="1"/>
  <c r="M6" i="1"/>
  <c r="P6" i="1"/>
  <c r="D28" i="1"/>
  <c r="D27" i="1"/>
  <c r="D26" i="1"/>
  <c r="D25" i="1"/>
  <c r="D24" i="1"/>
  <c r="L7" i="1" s="1"/>
  <c r="D23" i="1"/>
  <c r="D21" i="1"/>
  <c r="D20" i="1"/>
  <c r="L8" i="1" s="1"/>
  <c r="L11" i="1"/>
  <c r="L10" i="1"/>
  <c r="L9" i="1"/>
  <c r="H24" i="3"/>
  <c r="E26" i="3"/>
  <c r="H33" i="1"/>
  <c r="G33" i="1"/>
  <c r="F33" i="1"/>
  <c r="E33" i="1"/>
  <c r="H32" i="1"/>
  <c r="G32" i="1"/>
  <c r="F32" i="1"/>
  <c r="E32" i="1"/>
  <c r="H31" i="1"/>
  <c r="G31" i="1"/>
  <c r="F31" i="1"/>
  <c r="E31" i="1"/>
  <c r="H30" i="1"/>
  <c r="G30" i="1"/>
  <c r="F30" i="1"/>
  <c r="E30" i="1"/>
  <c r="H29" i="1"/>
  <c r="G29" i="1"/>
  <c r="O6" i="1" s="1"/>
  <c r="F29" i="1"/>
  <c r="N6" i="1" s="1"/>
  <c r="E29" i="1"/>
  <c r="H33" i="2"/>
  <c r="G33" i="2"/>
  <c r="F33" i="2"/>
  <c r="E33" i="2"/>
  <c r="D33" i="2"/>
  <c r="H32" i="2"/>
  <c r="G32" i="2"/>
  <c r="F32" i="2"/>
  <c r="E32" i="2"/>
  <c r="D32" i="2"/>
  <c r="H31" i="2"/>
  <c r="G31" i="2"/>
  <c r="F31" i="2"/>
  <c r="E31" i="2"/>
  <c r="D31" i="2"/>
  <c r="H30" i="2"/>
  <c r="G30" i="2"/>
  <c r="F30" i="2"/>
  <c r="E30" i="2"/>
  <c r="D30" i="2"/>
  <c r="H29" i="2"/>
  <c r="G29" i="2"/>
  <c r="F29" i="2"/>
  <c r="E29" i="2"/>
  <c r="D29" i="2"/>
  <c r="H33" i="3"/>
  <c r="H32" i="3"/>
  <c r="H31" i="3"/>
  <c r="H30" i="3"/>
  <c r="H29" i="3"/>
  <c r="G33" i="3"/>
  <c r="G32" i="3"/>
  <c r="G31" i="3"/>
  <c r="G30" i="3"/>
  <c r="G29" i="3"/>
  <c r="F33" i="3"/>
  <c r="F32" i="3"/>
  <c r="F31" i="3"/>
  <c r="F30" i="3"/>
  <c r="F29" i="3"/>
  <c r="D33" i="3"/>
  <c r="D32" i="3"/>
  <c r="D31" i="3"/>
  <c r="D30" i="3"/>
  <c r="D29" i="3"/>
  <c r="E33" i="3"/>
  <c r="H28" i="2"/>
  <c r="E28" i="2"/>
  <c r="D28" i="2"/>
  <c r="H27" i="2"/>
  <c r="E27" i="2"/>
  <c r="D27" i="2"/>
  <c r="E26" i="2"/>
  <c r="D26" i="2"/>
  <c r="H25" i="2"/>
  <c r="E25" i="2"/>
  <c r="D25" i="2"/>
  <c r="E24" i="2"/>
  <c r="D24" i="2"/>
  <c r="H23" i="2"/>
  <c r="E23" i="2"/>
  <c r="D23" i="2"/>
  <c r="H22" i="2"/>
  <c r="E22" i="2"/>
  <c r="D22" i="2"/>
  <c r="H21" i="2"/>
  <c r="E21" i="2"/>
  <c r="D21" i="2"/>
  <c r="H20" i="2"/>
  <c r="E20" i="2"/>
  <c r="D20" i="2"/>
  <c r="H19" i="2"/>
  <c r="E19" i="2"/>
  <c r="D19" i="2"/>
  <c r="H18" i="2"/>
  <c r="E18" i="2"/>
  <c r="D18" i="2"/>
  <c r="E17" i="2"/>
  <c r="H16" i="2"/>
  <c r="E16" i="2"/>
  <c r="H15" i="2"/>
  <c r="E15" i="2"/>
  <c r="D15" i="2"/>
  <c r="H14" i="2"/>
  <c r="E14" i="2"/>
  <c r="D14" i="2"/>
  <c r="H13" i="2"/>
  <c r="E13" i="2"/>
  <c r="D13" i="2"/>
  <c r="H12" i="2"/>
  <c r="E12" i="2"/>
  <c r="D12" i="2"/>
  <c r="H11" i="2"/>
  <c r="E11" i="2"/>
  <c r="D11" i="2"/>
  <c r="H10" i="2"/>
  <c r="E10" i="2"/>
  <c r="D10" i="2"/>
  <c r="H9" i="2"/>
  <c r="E9" i="2"/>
  <c r="D9" i="2"/>
  <c r="H8" i="2"/>
  <c r="E8" i="2"/>
  <c r="D8" i="2"/>
  <c r="H7" i="2"/>
  <c r="E7" i="2"/>
  <c r="D7" i="2"/>
  <c r="H6" i="2"/>
  <c r="E6" i="2"/>
  <c r="D6" i="2"/>
  <c r="H5" i="2"/>
  <c r="E5" i="2"/>
  <c r="H4" i="2"/>
  <c r="E4" i="2"/>
  <c r="E28" i="1"/>
  <c r="E27" i="1"/>
  <c r="E26" i="1"/>
  <c r="E25" i="1"/>
  <c r="E24" i="1"/>
  <c r="M7" i="1" s="1"/>
  <c r="E23" i="1"/>
  <c r="E22" i="1"/>
  <c r="M8" i="1" s="1"/>
  <c r="E21" i="1"/>
  <c r="E20" i="1"/>
  <c r="E19" i="1"/>
  <c r="E18" i="1"/>
  <c r="E16" i="1"/>
  <c r="M9" i="1" s="1"/>
  <c r="E13" i="1"/>
  <c r="E12" i="1"/>
  <c r="E32" i="3"/>
  <c r="E31" i="3"/>
  <c r="E30" i="3"/>
  <c r="E29" i="3"/>
  <c r="E28" i="3"/>
  <c r="E27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2" i="3"/>
  <c r="E11" i="3"/>
  <c r="E10" i="3"/>
  <c r="E9" i="3"/>
  <c r="E8" i="3"/>
  <c r="E7" i="3"/>
  <c r="E6" i="3"/>
  <c r="E5" i="3"/>
  <c r="E4" i="3"/>
  <c r="H27" i="3"/>
  <c r="H26" i="3"/>
  <c r="H25" i="3"/>
  <c r="H23" i="3"/>
  <c r="H22" i="3"/>
  <c r="D22" i="3"/>
  <c r="H21" i="3"/>
  <c r="H20" i="3"/>
  <c r="H19" i="3"/>
  <c r="H18" i="3"/>
  <c r="D18" i="3"/>
  <c r="H17" i="3"/>
  <c r="D17" i="3"/>
  <c r="H16" i="3"/>
  <c r="D16" i="3"/>
  <c r="H15" i="3"/>
  <c r="D15" i="3"/>
  <c r="H14" i="3"/>
  <c r="D14" i="3"/>
  <c r="H13" i="3"/>
  <c r="D13" i="3"/>
  <c r="H12" i="3"/>
  <c r="D12" i="3"/>
  <c r="H11" i="3"/>
  <c r="D11" i="3"/>
  <c r="H10" i="3"/>
  <c r="D10" i="3"/>
  <c r="H9" i="3"/>
  <c r="D9" i="3"/>
  <c r="H8" i="3"/>
  <c r="D8" i="3"/>
  <c r="H7" i="3"/>
  <c r="D7" i="3"/>
  <c r="H6" i="3"/>
  <c r="D6" i="3"/>
  <c r="H5" i="3"/>
  <c r="D5" i="3"/>
  <c r="H4" i="3"/>
  <c r="D4" i="3"/>
  <c r="H28" i="1"/>
  <c r="H27" i="1"/>
  <c r="P7" i="1" s="1"/>
  <c r="H26" i="1"/>
  <c r="H25" i="1"/>
  <c r="H23" i="1"/>
  <c r="P8" i="1" s="1"/>
  <c r="H22" i="1"/>
  <c r="H18" i="1"/>
  <c r="H17" i="1"/>
  <c r="H15" i="1"/>
  <c r="H14" i="1"/>
  <c r="P9" i="1" s="1"/>
  <c r="H13" i="1"/>
  <c r="H12" i="1"/>
  <c r="H11" i="1"/>
  <c r="H10" i="1"/>
  <c r="H9" i="1"/>
  <c r="P10" i="1" s="1"/>
  <c r="H7" i="1"/>
  <c r="H6" i="1"/>
  <c r="H4" i="1"/>
  <c r="P11" i="1" s="1"/>
  <c r="L7" i="3" l="1"/>
  <c r="L8" i="3"/>
  <c r="R7" i="2"/>
  <c r="L6" i="1"/>
</calcChain>
</file>

<file path=xl/sharedStrings.xml><?xml version="1.0" encoding="utf-8"?>
<sst xmlns="http://schemas.openxmlformats.org/spreadsheetml/2006/main" count="154" uniqueCount="30">
  <si>
    <t>56 Dias Após Semeadura (DAS)</t>
  </si>
  <si>
    <t>clomazone</t>
  </si>
  <si>
    <t>0DAA</t>
  </si>
  <si>
    <t>10DAA</t>
  </si>
  <si>
    <t>20DAA</t>
  </si>
  <si>
    <t>60DAA</t>
  </si>
  <si>
    <t>2D</t>
  </si>
  <si>
    <t>A</t>
  </si>
  <si>
    <t>B</t>
  </si>
  <si>
    <t>C</t>
  </si>
  <si>
    <t>D</t>
  </si>
  <si>
    <t>E</t>
  </si>
  <si>
    <t>1D</t>
  </si>
  <si>
    <t>1/2D</t>
  </si>
  <si>
    <t>1/4D</t>
  </si>
  <si>
    <t>1/8D</t>
  </si>
  <si>
    <t>TESTEMUNHA</t>
  </si>
  <si>
    <t>área foliar</t>
  </si>
  <si>
    <t>sulf</t>
  </si>
  <si>
    <t>indaz</t>
  </si>
  <si>
    <t>Soja</t>
  </si>
  <si>
    <t>40DAA</t>
  </si>
  <si>
    <t>40 DAA</t>
  </si>
  <si>
    <t>0 DAA</t>
  </si>
  <si>
    <t>10 DAA</t>
  </si>
  <si>
    <t>20 DAA</t>
  </si>
  <si>
    <t>60 DAA</t>
  </si>
  <si>
    <t>ANOVA</t>
  </si>
  <si>
    <t>por dose</t>
  </si>
  <si>
    <t>por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</si>
</sst>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14" fontId="1" fillId="2" borderId="0" xfId="0" applyNumberFormat="1" applyFont="1" applyFill="1"/>
    <xf numFmtId="14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2A54B-4DEB-43B5-B2A3-49316B091203}">
  <dimension ref="A1:P153"/>
  <sheetViews>
    <sheetView tabSelected="1" zoomScale="85" zoomScaleNormal="85" workbookViewId="0">
      <selection activeCell="K6" sqref="K6:P11"/>
    </sheetView>
  </sheetViews>
  <sheetFormatPr defaultRowHeight="15" x14ac:dyDescent="0.25"/>
  <cols>
    <col min="1" max="1" width="12.140625" bestFit="1" customWidth="1"/>
    <col min="2" max="2" width="28.42578125" bestFit="1" customWidth="1"/>
    <col min="4" max="6" width="10.7109375" bestFit="1" customWidth="1"/>
    <col min="7" max="7" width="10.7109375" customWidth="1"/>
    <col min="8" max="8" width="10.7109375" bestFit="1" customWidth="1"/>
    <col min="9" max="9" width="10.7109375" customWidth="1"/>
    <col min="10" max="10" width="10.7109375" bestFit="1" customWidth="1"/>
  </cols>
  <sheetData>
    <row r="1" spans="1:16" x14ac:dyDescent="0.25">
      <c r="A1" s="1" t="s">
        <v>19</v>
      </c>
      <c r="B1" s="1" t="s">
        <v>0</v>
      </c>
    </row>
    <row r="2" spans="1:16" x14ac:dyDescent="0.25">
      <c r="B2" s="2"/>
      <c r="D2" s="3"/>
      <c r="E2" s="3"/>
      <c r="F2" s="3"/>
      <c r="G2" s="3"/>
      <c r="H2" s="3" t="s">
        <v>20</v>
      </c>
      <c r="I2" s="3"/>
      <c r="J2" s="3"/>
    </row>
    <row r="3" spans="1:16" x14ac:dyDescent="0.25">
      <c r="D3" t="s">
        <v>2</v>
      </c>
      <c r="E3" t="s">
        <v>3</v>
      </c>
      <c r="F3" s="4" t="s">
        <v>4</v>
      </c>
      <c r="G3" s="4" t="s">
        <v>22</v>
      </c>
      <c r="H3" t="s">
        <v>5</v>
      </c>
      <c r="I3" t="s">
        <v>27</v>
      </c>
    </row>
    <row r="4" spans="1:16" x14ac:dyDescent="0.25">
      <c r="B4" t="s">
        <v>6</v>
      </c>
      <c r="C4" t="s">
        <v>7</v>
      </c>
      <c r="D4">
        <v>0</v>
      </c>
      <c r="E4">
        <v>0</v>
      </c>
      <c r="F4">
        <v>0.94499999999999984</v>
      </c>
      <c r="G4">
        <v>1.2749999999999999</v>
      </c>
      <c r="H4">
        <f>(2.21+ 0.34)/2</f>
        <v>1.2749999999999999</v>
      </c>
      <c r="I4" s="4">
        <v>0</v>
      </c>
    </row>
    <row r="5" spans="1:16" x14ac:dyDescent="0.25">
      <c r="C5" t="s">
        <v>8</v>
      </c>
      <c r="D5">
        <v>0</v>
      </c>
      <c r="E5">
        <v>0</v>
      </c>
      <c r="F5">
        <v>0.33</v>
      </c>
      <c r="G5">
        <v>1.22</v>
      </c>
      <c r="H5">
        <v>0</v>
      </c>
      <c r="I5" s="4">
        <v>0</v>
      </c>
      <c r="L5" t="s">
        <v>23</v>
      </c>
      <c r="M5" t="s">
        <v>24</v>
      </c>
      <c r="N5" t="s">
        <v>25</v>
      </c>
      <c r="O5" t="s">
        <v>22</v>
      </c>
      <c r="P5" t="s">
        <v>26</v>
      </c>
    </row>
    <row r="6" spans="1:16" x14ac:dyDescent="0.25">
      <c r="C6" t="s">
        <v>9</v>
      </c>
      <c r="D6">
        <v>0</v>
      </c>
      <c r="E6">
        <v>0</v>
      </c>
      <c r="F6">
        <v>0.55000000000000004</v>
      </c>
      <c r="G6" s="4">
        <v>2.84</v>
      </c>
      <c r="H6">
        <f>(4.05+ 4.72)/2</f>
        <v>4.3849999999999998</v>
      </c>
      <c r="I6" s="4">
        <v>0</v>
      </c>
      <c r="K6">
        <v>0</v>
      </c>
      <c r="L6">
        <f>AVERAGE(D29:D33)</f>
        <v>12.273</v>
      </c>
      <c r="M6">
        <f t="shared" ref="M6:P6" si="0">AVERAGE(E29:E33)</f>
        <v>12.273</v>
      </c>
      <c r="N6">
        <f t="shared" si="0"/>
        <v>12.273</v>
      </c>
      <c r="O6">
        <f t="shared" si="0"/>
        <v>12.273</v>
      </c>
      <c r="P6">
        <f t="shared" si="0"/>
        <v>12.273</v>
      </c>
    </row>
    <row r="7" spans="1:16" x14ac:dyDescent="0.25">
      <c r="C7" t="s">
        <v>10</v>
      </c>
      <c r="D7">
        <v>0</v>
      </c>
      <c r="E7">
        <v>0</v>
      </c>
      <c r="F7">
        <v>0.91</v>
      </c>
      <c r="G7" s="4">
        <v>2.2400000000000002</v>
      </c>
      <c r="H7">
        <f>(2.89+ 1.59)/2</f>
        <v>2.2400000000000002</v>
      </c>
      <c r="I7" s="4">
        <v>0</v>
      </c>
      <c r="K7">
        <v>12.5</v>
      </c>
      <c r="L7">
        <f>AVERAGE(D24:D28)</f>
        <v>8.2609999999999992</v>
      </c>
      <c r="M7">
        <f t="shared" ref="M7:P7" si="1">AVERAGE(E24:E28)</f>
        <v>9.4030000000000005</v>
      </c>
      <c r="N7">
        <f t="shared" si="1"/>
        <v>9.0729999999999986</v>
      </c>
      <c r="O7">
        <f t="shared" si="1"/>
        <v>13.664199999999999</v>
      </c>
      <c r="P7">
        <f t="shared" si="1"/>
        <v>14.230799999999999</v>
      </c>
    </row>
    <row r="8" spans="1:16" x14ac:dyDescent="0.25">
      <c r="C8" t="s">
        <v>11</v>
      </c>
      <c r="D8">
        <v>0</v>
      </c>
      <c r="E8">
        <v>0</v>
      </c>
      <c r="F8">
        <v>0.34</v>
      </c>
      <c r="G8" s="4">
        <v>0.23</v>
      </c>
      <c r="H8">
        <v>0</v>
      </c>
      <c r="I8" s="4">
        <v>0</v>
      </c>
      <c r="K8">
        <v>25</v>
      </c>
      <c r="L8">
        <f>AVERAGE(D19:D23)</f>
        <v>4.0879999999999992</v>
      </c>
      <c r="M8">
        <f t="shared" ref="M8:P8" si="2">AVERAGE(E19:E23)</f>
        <v>9.1939999999999991</v>
      </c>
      <c r="N8">
        <f t="shared" si="2"/>
        <v>8.863999999999999</v>
      </c>
      <c r="O8">
        <f t="shared" si="2"/>
        <v>9.206999999999999</v>
      </c>
      <c r="P8">
        <f t="shared" si="2"/>
        <v>11.239000000000001</v>
      </c>
    </row>
    <row r="9" spans="1:16" x14ac:dyDescent="0.25">
      <c r="B9" t="s">
        <v>12</v>
      </c>
      <c r="C9" t="s">
        <v>7</v>
      </c>
      <c r="D9">
        <v>0</v>
      </c>
      <c r="E9">
        <v>0</v>
      </c>
      <c r="F9">
        <v>3.7549999999999999</v>
      </c>
      <c r="G9" s="4">
        <v>4.085</v>
      </c>
      <c r="H9">
        <f>(4.6+ 3.57)/2</f>
        <v>4.085</v>
      </c>
      <c r="I9" s="4">
        <v>0</v>
      </c>
      <c r="K9">
        <v>50</v>
      </c>
      <c r="L9">
        <f>AVERAGE(D14:D18)</f>
        <v>0</v>
      </c>
      <c r="M9">
        <f t="shared" ref="M9:P9" si="3">AVERAGE(E14:E18)</f>
        <v>1.8759999999999999</v>
      </c>
      <c r="N9">
        <f t="shared" si="3"/>
        <v>3.37</v>
      </c>
      <c r="O9">
        <f t="shared" si="3"/>
        <v>4.7210000000000001</v>
      </c>
      <c r="P9">
        <f t="shared" si="3"/>
        <v>5.5309999999999997</v>
      </c>
    </row>
    <row r="10" spans="1:16" x14ac:dyDescent="0.25">
      <c r="C10" t="s">
        <v>8</v>
      </c>
      <c r="D10">
        <v>0</v>
      </c>
      <c r="E10">
        <v>0</v>
      </c>
      <c r="F10">
        <v>4.4050000000000002</v>
      </c>
      <c r="G10" s="4">
        <v>4.7350000000000003</v>
      </c>
      <c r="H10">
        <f>(5.23+ 4.24)/2</f>
        <v>4.7350000000000003</v>
      </c>
      <c r="I10" s="4">
        <v>0</v>
      </c>
      <c r="K10">
        <v>100</v>
      </c>
      <c r="L10">
        <f>AVERAGE(D9:D13)</f>
        <v>0</v>
      </c>
      <c r="M10">
        <f t="shared" ref="M10:P10" si="4">AVERAGE(E9:E13)</f>
        <v>0.89400000000000013</v>
      </c>
      <c r="N10">
        <f t="shared" si="4"/>
        <v>3.2749999999999999</v>
      </c>
      <c r="O10">
        <f t="shared" si="4"/>
        <v>3.8149999999999999</v>
      </c>
      <c r="P10">
        <f t="shared" si="4"/>
        <v>4.2789999999999999</v>
      </c>
    </row>
    <row r="11" spans="1:16" x14ac:dyDescent="0.25">
      <c r="C11" t="s">
        <v>9</v>
      </c>
      <c r="D11">
        <v>0</v>
      </c>
      <c r="E11">
        <v>0</v>
      </c>
      <c r="F11">
        <v>4.4050000000000002</v>
      </c>
      <c r="G11" s="4">
        <v>4.7350000000000003</v>
      </c>
      <c r="H11">
        <f>(5.58+ 3.89)/2</f>
        <v>4.7350000000000003</v>
      </c>
      <c r="I11" s="4">
        <v>0</v>
      </c>
      <c r="K11">
        <v>200</v>
      </c>
      <c r="L11">
        <f>AVERAGE(D4:D8)</f>
        <v>0</v>
      </c>
      <c r="M11">
        <f t="shared" ref="M11:P11" si="5">AVERAGE(E4:E8)</f>
        <v>0</v>
      </c>
      <c r="N11">
        <f t="shared" si="5"/>
        <v>0.61499999999999999</v>
      </c>
      <c r="O11">
        <f t="shared" si="5"/>
        <v>1.5610000000000002</v>
      </c>
      <c r="P11">
        <f t="shared" si="5"/>
        <v>1.58</v>
      </c>
    </row>
    <row r="12" spans="1:16" x14ac:dyDescent="0.25">
      <c r="C12" t="s">
        <v>10</v>
      </c>
      <c r="D12">
        <v>0</v>
      </c>
      <c r="E12">
        <f>(1.91+1.54)/2</f>
        <v>1.7250000000000001</v>
      </c>
      <c r="F12">
        <v>1.395</v>
      </c>
      <c r="G12">
        <v>5.52</v>
      </c>
      <c r="H12">
        <f>(6.24+ 4.8)/2</f>
        <v>5.52</v>
      </c>
      <c r="I12" s="4">
        <v>0</v>
      </c>
    </row>
    <row r="13" spans="1:16" x14ac:dyDescent="0.25">
      <c r="C13" t="s">
        <v>11</v>
      </c>
      <c r="D13">
        <v>0</v>
      </c>
      <c r="E13">
        <f>(3.03+2.46)/2</f>
        <v>2.7450000000000001</v>
      </c>
      <c r="F13">
        <v>2.415</v>
      </c>
      <c r="G13">
        <v>0</v>
      </c>
      <c r="H13">
        <f>(2.29+ 2.35)/2</f>
        <v>2.3200000000000003</v>
      </c>
      <c r="I13" s="4">
        <v>0</v>
      </c>
    </row>
    <row r="14" spans="1:16" x14ac:dyDescent="0.25">
      <c r="B14" t="s">
        <v>13</v>
      </c>
      <c r="C14" t="s">
        <v>7</v>
      </c>
      <c r="D14">
        <v>0</v>
      </c>
      <c r="E14">
        <v>0</v>
      </c>
      <c r="F14">
        <v>3.2199999999999998</v>
      </c>
      <c r="G14">
        <v>4.0199999999999996</v>
      </c>
      <c r="H14">
        <f>(5.04+ 3)/2</f>
        <v>4.0199999999999996</v>
      </c>
      <c r="I14" s="4">
        <v>0</v>
      </c>
    </row>
    <row r="15" spans="1:16" x14ac:dyDescent="0.25">
      <c r="C15" t="s">
        <v>8</v>
      </c>
      <c r="D15">
        <v>0</v>
      </c>
      <c r="E15">
        <v>0</v>
      </c>
      <c r="F15">
        <v>2.2599999999999998</v>
      </c>
      <c r="G15">
        <v>5.4550000000000001</v>
      </c>
      <c r="H15">
        <f>(5.11+ 5.8)/2</f>
        <v>5.4550000000000001</v>
      </c>
      <c r="I15" s="4">
        <v>0</v>
      </c>
    </row>
    <row r="16" spans="1:16" x14ac:dyDescent="0.25">
      <c r="C16" t="s">
        <v>9</v>
      </c>
      <c r="D16">
        <v>0</v>
      </c>
      <c r="E16">
        <f>(5.23+2.74)/2</f>
        <v>3.9850000000000003</v>
      </c>
      <c r="F16">
        <v>3.6550000000000002</v>
      </c>
      <c r="G16">
        <v>0</v>
      </c>
      <c r="H16">
        <v>4.05</v>
      </c>
      <c r="I16" s="4">
        <v>0</v>
      </c>
    </row>
    <row r="17" spans="2:12" x14ac:dyDescent="0.25">
      <c r="C17" t="s">
        <v>10</v>
      </c>
      <c r="D17">
        <v>0</v>
      </c>
      <c r="E17">
        <v>0</v>
      </c>
      <c r="F17">
        <v>2.65</v>
      </c>
      <c r="G17">
        <v>6.0049999999999999</v>
      </c>
      <c r="H17">
        <f>(5.92+ 6.09)/2</f>
        <v>6.0049999999999999</v>
      </c>
      <c r="I17" s="4">
        <v>0</v>
      </c>
    </row>
    <row r="18" spans="2:12" x14ac:dyDescent="0.25">
      <c r="C18" t="s">
        <v>11</v>
      </c>
      <c r="D18">
        <v>0</v>
      </c>
      <c r="E18">
        <f>(6.08+4.71)/2</f>
        <v>5.3949999999999996</v>
      </c>
      <c r="F18">
        <v>5.0649999999999995</v>
      </c>
      <c r="G18">
        <v>8.125</v>
      </c>
      <c r="H18">
        <f>(3.92+ 12.33)/2</f>
        <v>8.125</v>
      </c>
      <c r="I18" s="4">
        <v>0</v>
      </c>
    </row>
    <row r="19" spans="2:12" x14ac:dyDescent="0.25">
      <c r="B19" t="s">
        <v>14</v>
      </c>
      <c r="C19" t="s">
        <v>7</v>
      </c>
      <c r="D19">
        <v>0</v>
      </c>
      <c r="E19">
        <f>(5.25+10.77)/2</f>
        <v>8.01</v>
      </c>
      <c r="F19">
        <v>7.68</v>
      </c>
      <c r="G19">
        <v>8.5500000000000007</v>
      </c>
      <c r="H19">
        <f>(9.95+ 10.19)/2</f>
        <v>10.07</v>
      </c>
      <c r="I19" s="4">
        <v>0</v>
      </c>
    </row>
    <row r="20" spans="2:12" x14ac:dyDescent="0.25">
      <c r="C20" t="s">
        <v>8</v>
      </c>
      <c r="D20">
        <f>(9.19+5.77)/2</f>
        <v>7.4799999999999995</v>
      </c>
      <c r="E20">
        <f>(4.5+9.85)/2</f>
        <v>7.1749999999999998</v>
      </c>
      <c r="F20">
        <v>6.8449999999999998</v>
      </c>
      <c r="G20">
        <v>7.96</v>
      </c>
      <c r="H20">
        <v>8.57</v>
      </c>
      <c r="I20" s="4">
        <v>7.4799999999999995</v>
      </c>
    </row>
    <row r="21" spans="2:12" x14ac:dyDescent="0.25">
      <c r="C21" t="s">
        <v>9</v>
      </c>
      <c r="D21">
        <f>(9.47+4.08)/2</f>
        <v>6.7750000000000004</v>
      </c>
      <c r="E21">
        <f>(13.22+8.85)/2</f>
        <v>11.035</v>
      </c>
      <c r="F21">
        <v>10.705</v>
      </c>
      <c r="G21">
        <v>6.89</v>
      </c>
      <c r="H21">
        <v>9.26</v>
      </c>
      <c r="I21" s="4">
        <v>6.7750000000000004</v>
      </c>
    </row>
    <row r="22" spans="2:12" x14ac:dyDescent="0.25">
      <c r="C22" t="s">
        <v>10</v>
      </c>
      <c r="D22">
        <v>0</v>
      </c>
      <c r="E22">
        <f>(13.26+9.62)/2</f>
        <v>11.44</v>
      </c>
      <c r="F22">
        <v>11.11</v>
      </c>
      <c r="G22">
        <v>9.85</v>
      </c>
      <c r="H22">
        <f>(18.6+ 11.76)/2</f>
        <v>15.18</v>
      </c>
      <c r="I22" s="4">
        <v>0</v>
      </c>
    </row>
    <row r="23" spans="2:12" x14ac:dyDescent="0.25">
      <c r="C23" t="s">
        <v>11</v>
      </c>
      <c r="D23">
        <f>(9.26+3.11)/2</f>
        <v>6.1849999999999996</v>
      </c>
      <c r="E23">
        <f>(8.39+8.23)/2</f>
        <v>8.31</v>
      </c>
      <c r="F23">
        <v>7.98</v>
      </c>
      <c r="G23">
        <v>12.785</v>
      </c>
      <c r="H23">
        <f>(12.47+ 13.76)/2</f>
        <v>13.115</v>
      </c>
      <c r="I23" s="4">
        <v>6.1849999999999996</v>
      </c>
    </row>
    <row r="24" spans="2:12" x14ac:dyDescent="0.25">
      <c r="B24" t="s">
        <v>15</v>
      </c>
      <c r="C24" t="s">
        <v>7</v>
      </c>
      <c r="D24">
        <f>(7.44+4.46)/2</f>
        <v>5.95</v>
      </c>
      <c r="E24">
        <f>(9.13+8.83)/2</f>
        <v>8.98</v>
      </c>
      <c r="F24">
        <v>8.65</v>
      </c>
      <c r="G24">
        <v>13.725999999999999</v>
      </c>
      <c r="H24">
        <v>15.239000000000001</v>
      </c>
      <c r="I24" s="4">
        <v>5.95</v>
      </c>
    </row>
    <row r="25" spans="2:12" x14ac:dyDescent="0.25">
      <c r="C25" t="s">
        <v>8</v>
      </c>
      <c r="D25">
        <f>(9.15+9.71)/2</f>
        <v>9.43</v>
      </c>
      <c r="E25">
        <f>(10.04+11.48)/2</f>
        <v>10.76</v>
      </c>
      <c r="F25">
        <v>10.43</v>
      </c>
      <c r="G25">
        <v>19.07</v>
      </c>
      <c r="H25">
        <f>(18.3+ 20.5)/2</f>
        <v>19.399999999999999</v>
      </c>
      <c r="I25" s="4">
        <v>9.43</v>
      </c>
      <c r="L25">
        <v>0.33</v>
      </c>
    </row>
    <row r="26" spans="2:12" x14ac:dyDescent="0.25">
      <c r="C26" t="s">
        <v>9</v>
      </c>
      <c r="D26">
        <f>(9.87+8.58)/2</f>
        <v>9.2249999999999996</v>
      </c>
      <c r="E26">
        <f>(11.62+8.65)/2</f>
        <v>10.135</v>
      </c>
      <c r="F26">
        <v>9.8049999999999997</v>
      </c>
      <c r="G26">
        <v>11.895</v>
      </c>
      <c r="H26">
        <f>(14.1+ 10.35)/2</f>
        <v>12.225</v>
      </c>
      <c r="I26" s="4">
        <v>9.2249999999999996</v>
      </c>
    </row>
    <row r="27" spans="2:12" x14ac:dyDescent="0.25">
      <c r="C27" t="s">
        <v>10</v>
      </c>
      <c r="D27">
        <f>(10.56+6.88)/2</f>
        <v>8.7200000000000006</v>
      </c>
      <c r="E27">
        <f>(9.23+11.2)/2</f>
        <v>10.215</v>
      </c>
      <c r="F27">
        <v>9.8849999999999998</v>
      </c>
      <c r="G27">
        <v>12.565</v>
      </c>
      <c r="H27">
        <f>(13.34+12.45)/2</f>
        <v>12.895</v>
      </c>
      <c r="I27" s="4">
        <v>8.7200000000000006</v>
      </c>
    </row>
    <row r="28" spans="2:12" x14ac:dyDescent="0.25">
      <c r="C28" t="s">
        <v>11</v>
      </c>
      <c r="D28">
        <f>(8.41+7.55)/2</f>
        <v>7.98</v>
      </c>
      <c r="E28">
        <f>(5.98+7.87)/2</f>
        <v>6.9250000000000007</v>
      </c>
      <c r="F28">
        <v>6.5950000000000006</v>
      </c>
      <c r="G28">
        <v>11.065</v>
      </c>
      <c r="H28">
        <f>(12.46+10.33)/2</f>
        <v>11.395</v>
      </c>
      <c r="I28" s="4">
        <v>7.98</v>
      </c>
    </row>
    <row r="29" spans="2:12" x14ac:dyDescent="0.25">
      <c r="B29" t="s">
        <v>16</v>
      </c>
      <c r="C29" t="s">
        <v>7</v>
      </c>
      <c r="D29">
        <v>14.030000000000001</v>
      </c>
      <c r="E29">
        <f>(12.67+15.39)/2</f>
        <v>14.030000000000001</v>
      </c>
      <c r="F29">
        <f>(12.67+15.39)/2</f>
        <v>14.030000000000001</v>
      </c>
      <c r="G29">
        <f>(12.67+15.39)/2</f>
        <v>14.030000000000001</v>
      </c>
      <c r="H29">
        <f>(12.67+15.39)/2</f>
        <v>14.030000000000001</v>
      </c>
      <c r="I29" s="4">
        <v>14.030000000000001</v>
      </c>
    </row>
    <row r="30" spans="2:12" x14ac:dyDescent="0.25">
      <c r="C30" t="s">
        <v>8</v>
      </c>
      <c r="D30">
        <v>12.844999999999999</v>
      </c>
      <c r="E30">
        <f>(14.01+11.68)/2</f>
        <v>12.844999999999999</v>
      </c>
      <c r="F30">
        <f>(14.01+11.68)/2</f>
        <v>12.844999999999999</v>
      </c>
      <c r="G30">
        <f>(14.01+11.68)/2</f>
        <v>12.844999999999999</v>
      </c>
      <c r="H30">
        <f>(14.01+11.68)/2</f>
        <v>12.844999999999999</v>
      </c>
      <c r="I30" s="4">
        <v>12.844999999999999</v>
      </c>
    </row>
    <row r="31" spans="2:12" x14ac:dyDescent="0.25">
      <c r="C31" t="s">
        <v>9</v>
      </c>
      <c r="D31">
        <v>10.595000000000001</v>
      </c>
      <c r="E31">
        <f>(10.97+10.22)/2</f>
        <v>10.595000000000001</v>
      </c>
      <c r="F31">
        <f>(10.97+10.22)/2</f>
        <v>10.595000000000001</v>
      </c>
      <c r="G31">
        <f>(10.97+10.22)/2</f>
        <v>10.595000000000001</v>
      </c>
      <c r="H31">
        <f>(10.97+10.22)/2</f>
        <v>10.595000000000001</v>
      </c>
      <c r="I31" s="4">
        <v>10.595000000000001</v>
      </c>
    </row>
    <row r="32" spans="2:12" x14ac:dyDescent="0.25">
      <c r="C32" t="s">
        <v>10</v>
      </c>
      <c r="D32">
        <v>12.975000000000001</v>
      </c>
      <c r="E32">
        <f>(14.49+11.46)/2</f>
        <v>12.975000000000001</v>
      </c>
      <c r="F32">
        <f>(14.49+11.46)/2</f>
        <v>12.975000000000001</v>
      </c>
      <c r="G32">
        <f>(14.49+11.46)/2</f>
        <v>12.975000000000001</v>
      </c>
      <c r="H32">
        <f>(14.49+11.46)/2</f>
        <v>12.975000000000001</v>
      </c>
      <c r="I32" s="4">
        <v>12.975000000000001</v>
      </c>
    </row>
    <row r="33" spans="3:9" x14ac:dyDescent="0.25">
      <c r="C33" t="s">
        <v>11</v>
      </c>
      <c r="D33">
        <v>10.92</v>
      </c>
      <c r="E33">
        <f>(11.58+10.26)/2</f>
        <v>10.92</v>
      </c>
      <c r="F33">
        <f>(11.58+10.26)/2</f>
        <v>10.92</v>
      </c>
      <c r="G33">
        <f>(11.58+10.26)/2</f>
        <v>10.92</v>
      </c>
      <c r="H33">
        <f>(11.58+10.26)/2</f>
        <v>10.92</v>
      </c>
      <c r="I33" s="4">
        <v>10.92</v>
      </c>
    </row>
    <row r="34" spans="3:9" x14ac:dyDescent="0.25">
      <c r="I34" s="4">
        <v>0</v>
      </c>
    </row>
    <row r="35" spans="3:9" x14ac:dyDescent="0.25">
      <c r="I35" s="4">
        <v>0</v>
      </c>
    </row>
    <row r="36" spans="3:9" x14ac:dyDescent="0.25">
      <c r="I36" s="4">
        <v>0</v>
      </c>
    </row>
    <row r="37" spans="3:9" x14ac:dyDescent="0.25">
      <c r="I37" s="4">
        <v>0</v>
      </c>
    </row>
    <row r="38" spans="3:9" x14ac:dyDescent="0.25">
      <c r="I38" s="4">
        <v>0</v>
      </c>
    </row>
    <row r="39" spans="3:9" x14ac:dyDescent="0.25">
      <c r="I39" s="4">
        <v>0</v>
      </c>
    </row>
    <row r="40" spans="3:9" x14ac:dyDescent="0.25">
      <c r="I40" s="4">
        <v>0</v>
      </c>
    </row>
    <row r="41" spans="3:9" x14ac:dyDescent="0.25">
      <c r="I41" s="4">
        <v>0</v>
      </c>
    </row>
    <row r="42" spans="3:9" x14ac:dyDescent="0.25">
      <c r="I42" s="4">
        <v>1.7250000000000001</v>
      </c>
    </row>
    <row r="43" spans="3:9" x14ac:dyDescent="0.25">
      <c r="I43" s="4">
        <v>2.7450000000000001</v>
      </c>
    </row>
    <row r="44" spans="3:9" x14ac:dyDescent="0.25">
      <c r="I44" s="4">
        <v>0</v>
      </c>
    </row>
    <row r="45" spans="3:9" x14ac:dyDescent="0.25">
      <c r="I45" s="4">
        <v>0</v>
      </c>
    </row>
    <row r="46" spans="3:9" x14ac:dyDescent="0.25">
      <c r="I46" s="4">
        <v>3.9850000000000003</v>
      </c>
    </row>
    <row r="47" spans="3:9" x14ac:dyDescent="0.25">
      <c r="I47" s="4">
        <v>0</v>
      </c>
    </row>
    <row r="48" spans="3:9" x14ac:dyDescent="0.25">
      <c r="I48" s="4">
        <v>5.3949999999999996</v>
      </c>
    </row>
    <row r="49" spans="9:9" x14ac:dyDescent="0.25">
      <c r="I49" s="4">
        <v>8.01</v>
      </c>
    </row>
    <row r="50" spans="9:9" x14ac:dyDescent="0.25">
      <c r="I50" s="4">
        <v>7.1749999999999998</v>
      </c>
    </row>
    <row r="51" spans="9:9" x14ac:dyDescent="0.25">
      <c r="I51" s="4">
        <v>11.035</v>
      </c>
    </row>
    <row r="52" spans="9:9" x14ac:dyDescent="0.25">
      <c r="I52" s="4">
        <v>11.44</v>
      </c>
    </row>
    <row r="53" spans="9:9" x14ac:dyDescent="0.25">
      <c r="I53" s="4">
        <v>8.31</v>
      </c>
    </row>
    <row r="54" spans="9:9" x14ac:dyDescent="0.25">
      <c r="I54" s="4">
        <v>8.98</v>
      </c>
    </row>
    <row r="55" spans="9:9" x14ac:dyDescent="0.25">
      <c r="I55" s="4">
        <v>10.76</v>
      </c>
    </row>
    <row r="56" spans="9:9" x14ac:dyDescent="0.25">
      <c r="I56" s="4">
        <v>10.135</v>
      </c>
    </row>
    <row r="57" spans="9:9" x14ac:dyDescent="0.25">
      <c r="I57" s="4">
        <v>10.215</v>
      </c>
    </row>
    <row r="58" spans="9:9" x14ac:dyDescent="0.25">
      <c r="I58" s="4">
        <v>6.9250000000000007</v>
      </c>
    </row>
    <row r="59" spans="9:9" x14ac:dyDescent="0.25">
      <c r="I59" s="4">
        <v>14.030000000000001</v>
      </c>
    </row>
    <row r="60" spans="9:9" x14ac:dyDescent="0.25">
      <c r="I60" s="4">
        <v>12.844999999999999</v>
      </c>
    </row>
    <row r="61" spans="9:9" x14ac:dyDescent="0.25">
      <c r="I61" s="4">
        <v>10.595000000000001</v>
      </c>
    </row>
    <row r="62" spans="9:9" x14ac:dyDescent="0.25">
      <c r="I62" s="4">
        <v>12.975000000000001</v>
      </c>
    </row>
    <row r="63" spans="9:9" x14ac:dyDescent="0.25">
      <c r="I63" s="4">
        <v>10.92</v>
      </c>
    </row>
    <row r="64" spans="9:9" x14ac:dyDescent="0.25">
      <c r="I64" s="4">
        <v>0.94499999999999984</v>
      </c>
    </row>
    <row r="65" spans="9:9" x14ac:dyDescent="0.25">
      <c r="I65" s="4">
        <v>0.33</v>
      </c>
    </row>
    <row r="66" spans="9:9" x14ac:dyDescent="0.25">
      <c r="I66" s="4">
        <v>0.55000000000000004</v>
      </c>
    </row>
    <row r="67" spans="9:9" x14ac:dyDescent="0.25">
      <c r="I67" s="4">
        <v>0.91</v>
      </c>
    </row>
    <row r="68" spans="9:9" x14ac:dyDescent="0.25">
      <c r="I68" s="4">
        <v>0.34</v>
      </c>
    </row>
    <row r="69" spans="9:9" x14ac:dyDescent="0.25">
      <c r="I69" s="4">
        <v>3.7549999999999999</v>
      </c>
    </row>
    <row r="70" spans="9:9" x14ac:dyDescent="0.25">
      <c r="I70" s="4">
        <v>4.4050000000000002</v>
      </c>
    </row>
    <row r="71" spans="9:9" x14ac:dyDescent="0.25">
      <c r="I71" s="4">
        <v>4.4050000000000002</v>
      </c>
    </row>
    <row r="72" spans="9:9" x14ac:dyDescent="0.25">
      <c r="I72" s="4">
        <v>1.395</v>
      </c>
    </row>
    <row r="73" spans="9:9" x14ac:dyDescent="0.25">
      <c r="I73" s="4">
        <v>2.415</v>
      </c>
    </row>
    <row r="74" spans="9:9" x14ac:dyDescent="0.25">
      <c r="I74" s="4">
        <v>3.2199999999999998</v>
      </c>
    </row>
    <row r="75" spans="9:9" x14ac:dyDescent="0.25">
      <c r="I75" s="4">
        <v>2.2599999999999998</v>
      </c>
    </row>
    <row r="76" spans="9:9" x14ac:dyDescent="0.25">
      <c r="I76" s="4">
        <v>3.6550000000000002</v>
      </c>
    </row>
    <row r="77" spans="9:9" x14ac:dyDescent="0.25">
      <c r="I77" s="4">
        <v>2.65</v>
      </c>
    </row>
    <row r="78" spans="9:9" x14ac:dyDescent="0.25">
      <c r="I78" s="4">
        <v>5.0649999999999995</v>
      </c>
    </row>
    <row r="79" spans="9:9" x14ac:dyDescent="0.25">
      <c r="I79" s="4">
        <v>7.68</v>
      </c>
    </row>
    <row r="80" spans="9:9" x14ac:dyDescent="0.25">
      <c r="I80" s="4">
        <v>6.8449999999999998</v>
      </c>
    </row>
    <row r="81" spans="9:9" x14ac:dyDescent="0.25">
      <c r="I81" s="4">
        <v>10.705</v>
      </c>
    </row>
    <row r="82" spans="9:9" x14ac:dyDescent="0.25">
      <c r="I82" s="4">
        <v>11.11</v>
      </c>
    </row>
    <row r="83" spans="9:9" x14ac:dyDescent="0.25">
      <c r="I83" s="4">
        <v>7.98</v>
      </c>
    </row>
    <row r="84" spans="9:9" x14ac:dyDescent="0.25">
      <c r="I84" s="4">
        <v>8.65</v>
      </c>
    </row>
    <row r="85" spans="9:9" x14ac:dyDescent="0.25">
      <c r="I85" s="4">
        <v>10.43</v>
      </c>
    </row>
    <row r="86" spans="9:9" x14ac:dyDescent="0.25">
      <c r="I86" s="4">
        <v>9.8049999999999997</v>
      </c>
    </row>
    <row r="87" spans="9:9" x14ac:dyDescent="0.25">
      <c r="I87" s="4">
        <v>9.8849999999999998</v>
      </c>
    </row>
    <row r="88" spans="9:9" x14ac:dyDescent="0.25">
      <c r="I88" s="4">
        <v>6.5950000000000006</v>
      </c>
    </row>
    <row r="89" spans="9:9" x14ac:dyDescent="0.25">
      <c r="I89" s="4">
        <v>14.030000000000001</v>
      </c>
    </row>
    <row r="90" spans="9:9" x14ac:dyDescent="0.25">
      <c r="I90" s="4">
        <v>12.844999999999999</v>
      </c>
    </row>
    <row r="91" spans="9:9" x14ac:dyDescent="0.25">
      <c r="I91" s="4">
        <v>10.595000000000001</v>
      </c>
    </row>
    <row r="92" spans="9:9" x14ac:dyDescent="0.25">
      <c r="I92" s="4">
        <v>12.975000000000001</v>
      </c>
    </row>
    <row r="93" spans="9:9" x14ac:dyDescent="0.25">
      <c r="I93" s="4">
        <v>10.92</v>
      </c>
    </row>
    <row r="94" spans="9:9" x14ac:dyDescent="0.25">
      <c r="I94" s="4">
        <v>1.2749999999999999</v>
      </c>
    </row>
    <row r="95" spans="9:9" x14ac:dyDescent="0.25">
      <c r="I95" s="4">
        <v>1.22</v>
      </c>
    </row>
    <row r="96" spans="9:9" x14ac:dyDescent="0.25">
      <c r="I96" s="4">
        <v>2.84</v>
      </c>
    </row>
    <row r="97" spans="9:9" x14ac:dyDescent="0.25">
      <c r="I97" s="4">
        <v>2.2400000000000002</v>
      </c>
    </row>
    <row r="98" spans="9:9" x14ac:dyDescent="0.25">
      <c r="I98" s="4">
        <v>0.23</v>
      </c>
    </row>
    <row r="99" spans="9:9" x14ac:dyDescent="0.25">
      <c r="I99" s="4">
        <v>4.085</v>
      </c>
    </row>
    <row r="100" spans="9:9" x14ac:dyDescent="0.25">
      <c r="I100" s="4">
        <v>4.7350000000000003</v>
      </c>
    </row>
    <row r="101" spans="9:9" x14ac:dyDescent="0.25">
      <c r="I101" s="4">
        <v>4.7350000000000003</v>
      </c>
    </row>
    <row r="102" spans="9:9" x14ac:dyDescent="0.25">
      <c r="I102" s="4">
        <v>5.52</v>
      </c>
    </row>
    <row r="103" spans="9:9" x14ac:dyDescent="0.25">
      <c r="I103" s="4">
        <v>0</v>
      </c>
    </row>
    <row r="104" spans="9:9" x14ac:dyDescent="0.25">
      <c r="I104" s="4">
        <v>4.0199999999999996</v>
      </c>
    </row>
    <row r="105" spans="9:9" x14ac:dyDescent="0.25">
      <c r="I105" s="4">
        <v>5.4550000000000001</v>
      </c>
    </row>
    <row r="106" spans="9:9" x14ac:dyDescent="0.25">
      <c r="I106" s="4">
        <v>0</v>
      </c>
    </row>
    <row r="107" spans="9:9" x14ac:dyDescent="0.25">
      <c r="I107" s="4">
        <v>6.0049999999999999</v>
      </c>
    </row>
    <row r="108" spans="9:9" x14ac:dyDescent="0.25">
      <c r="I108" s="4">
        <v>8.125</v>
      </c>
    </row>
    <row r="109" spans="9:9" x14ac:dyDescent="0.25">
      <c r="I109" s="4">
        <v>8.5500000000000007</v>
      </c>
    </row>
    <row r="110" spans="9:9" x14ac:dyDescent="0.25">
      <c r="I110" s="4">
        <v>7.96</v>
      </c>
    </row>
    <row r="111" spans="9:9" x14ac:dyDescent="0.25">
      <c r="I111" s="4">
        <v>6.89</v>
      </c>
    </row>
    <row r="112" spans="9:9" x14ac:dyDescent="0.25">
      <c r="I112" s="4">
        <v>9.85</v>
      </c>
    </row>
    <row r="113" spans="9:9" x14ac:dyDescent="0.25">
      <c r="I113" s="4">
        <v>12.785</v>
      </c>
    </row>
    <row r="114" spans="9:9" x14ac:dyDescent="0.25">
      <c r="I114" s="4">
        <v>13.725999999999999</v>
      </c>
    </row>
    <row r="115" spans="9:9" x14ac:dyDescent="0.25">
      <c r="I115" s="4">
        <v>19.07</v>
      </c>
    </row>
    <row r="116" spans="9:9" x14ac:dyDescent="0.25">
      <c r="I116" s="4">
        <v>11.895</v>
      </c>
    </row>
    <row r="117" spans="9:9" x14ac:dyDescent="0.25">
      <c r="I117" s="4">
        <v>12.565</v>
      </c>
    </row>
    <row r="118" spans="9:9" x14ac:dyDescent="0.25">
      <c r="I118" s="4">
        <v>11.065</v>
      </c>
    </row>
    <row r="119" spans="9:9" x14ac:dyDescent="0.25">
      <c r="I119" s="4">
        <v>14.030000000000001</v>
      </c>
    </row>
    <row r="120" spans="9:9" x14ac:dyDescent="0.25">
      <c r="I120" s="4">
        <v>12.844999999999999</v>
      </c>
    </row>
    <row r="121" spans="9:9" x14ac:dyDescent="0.25">
      <c r="I121" s="4">
        <v>10.595000000000001</v>
      </c>
    </row>
    <row r="122" spans="9:9" x14ac:dyDescent="0.25">
      <c r="I122" s="4">
        <v>12.975000000000001</v>
      </c>
    </row>
    <row r="123" spans="9:9" x14ac:dyDescent="0.25">
      <c r="I123" s="4">
        <v>10.92</v>
      </c>
    </row>
    <row r="124" spans="9:9" x14ac:dyDescent="0.25">
      <c r="I124" s="4">
        <v>1.2749999999999999</v>
      </c>
    </row>
    <row r="125" spans="9:9" x14ac:dyDescent="0.25">
      <c r="I125" s="4">
        <v>0</v>
      </c>
    </row>
    <row r="126" spans="9:9" x14ac:dyDescent="0.25">
      <c r="I126" s="4">
        <v>4.3849999999999998</v>
      </c>
    </row>
    <row r="127" spans="9:9" x14ac:dyDescent="0.25">
      <c r="I127" s="4">
        <v>2.2400000000000002</v>
      </c>
    </row>
    <row r="128" spans="9:9" x14ac:dyDescent="0.25">
      <c r="I128" s="4">
        <v>0</v>
      </c>
    </row>
    <row r="129" spans="9:9" x14ac:dyDescent="0.25">
      <c r="I129" s="4">
        <v>4.085</v>
      </c>
    </row>
    <row r="130" spans="9:9" x14ac:dyDescent="0.25">
      <c r="I130" s="4">
        <v>4.7350000000000003</v>
      </c>
    </row>
    <row r="131" spans="9:9" x14ac:dyDescent="0.25">
      <c r="I131" s="4">
        <v>4.7350000000000003</v>
      </c>
    </row>
    <row r="132" spans="9:9" x14ac:dyDescent="0.25">
      <c r="I132" s="4">
        <v>5.52</v>
      </c>
    </row>
    <row r="133" spans="9:9" x14ac:dyDescent="0.25">
      <c r="I133" s="4">
        <v>2.3200000000000003</v>
      </c>
    </row>
    <row r="134" spans="9:9" x14ac:dyDescent="0.25">
      <c r="I134" s="4">
        <v>4.0199999999999996</v>
      </c>
    </row>
    <row r="135" spans="9:9" x14ac:dyDescent="0.25">
      <c r="I135" s="4">
        <v>5.4550000000000001</v>
      </c>
    </row>
    <row r="136" spans="9:9" x14ac:dyDescent="0.25">
      <c r="I136" s="4">
        <v>4.05</v>
      </c>
    </row>
    <row r="137" spans="9:9" x14ac:dyDescent="0.25">
      <c r="I137" s="4">
        <v>6.0049999999999999</v>
      </c>
    </row>
    <row r="138" spans="9:9" x14ac:dyDescent="0.25">
      <c r="I138" s="4">
        <v>8.125</v>
      </c>
    </row>
    <row r="139" spans="9:9" x14ac:dyDescent="0.25">
      <c r="I139" s="4">
        <v>10.07</v>
      </c>
    </row>
    <row r="140" spans="9:9" x14ac:dyDescent="0.25">
      <c r="I140" s="4">
        <v>8.57</v>
      </c>
    </row>
    <row r="141" spans="9:9" x14ac:dyDescent="0.25">
      <c r="I141" s="4">
        <v>9.26</v>
      </c>
    </row>
    <row r="142" spans="9:9" x14ac:dyDescent="0.25">
      <c r="I142" s="4">
        <v>15.18</v>
      </c>
    </row>
    <row r="143" spans="9:9" x14ac:dyDescent="0.25">
      <c r="I143" s="4">
        <v>13.115</v>
      </c>
    </row>
    <row r="144" spans="9:9" x14ac:dyDescent="0.25">
      <c r="I144" s="4">
        <v>15.239000000000001</v>
      </c>
    </row>
    <row r="145" spans="9:9" x14ac:dyDescent="0.25">
      <c r="I145" s="4">
        <v>19.399999999999999</v>
      </c>
    </row>
    <row r="146" spans="9:9" x14ac:dyDescent="0.25">
      <c r="I146" s="4">
        <v>12.225</v>
      </c>
    </row>
    <row r="147" spans="9:9" x14ac:dyDescent="0.25">
      <c r="I147" s="4">
        <v>12.895</v>
      </c>
    </row>
    <row r="148" spans="9:9" x14ac:dyDescent="0.25">
      <c r="I148" s="4">
        <v>11.395</v>
      </c>
    </row>
    <row r="149" spans="9:9" x14ac:dyDescent="0.25">
      <c r="I149" s="4">
        <v>14.030000000000001</v>
      </c>
    </row>
    <row r="150" spans="9:9" x14ac:dyDescent="0.25">
      <c r="I150" s="4">
        <v>12.844999999999999</v>
      </c>
    </row>
    <row r="151" spans="9:9" x14ac:dyDescent="0.25">
      <c r="I151" s="4">
        <v>10.595000000000001</v>
      </c>
    </row>
    <row r="152" spans="9:9" x14ac:dyDescent="0.25">
      <c r="I152" s="4">
        <v>12.975000000000001</v>
      </c>
    </row>
    <row r="153" spans="9:9" x14ac:dyDescent="0.25">
      <c r="I153" s="4">
        <v>10.92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942BE-07BD-460C-9984-CBC3839AC196}">
  <dimension ref="A1:R153"/>
  <sheetViews>
    <sheetView topLeftCell="C1" workbookViewId="0">
      <selection activeCell="N14" sqref="N14:N18"/>
    </sheetView>
  </sheetViews>
  <sheetFormatPr defaultRowHeight="15" x14ac:dyDescent="0.25"/>
  <cols>
    <col min="1" max="1" width="12.140625" bestFit="1" customWidth="1"/>
    <col min="2" max="2" width="28.42578125" bestFit="1" customWidth="1"/>
    <col min="4" max="6" width="10.7109375" bestFit="1" customWidth="1"/>
    <col min="7" max="7" width="10.7109375" customWidth="1"/>
    <col min="8" max="9" width="10.7109375" bestFit="1" customWidth="1"/>
    <col min="13" max="13" width="11.42578125" bestFit="1" customWidth="1"/>
  </cols>
  <sheetData>
    <row r="1" spans="1:18" x14ac:dyDescent="0.25">
      <c r="A1" s="1" t="s">
        <v>17</v>
      </c>
      <c r="B1" s="1" t="s">
        <v>0</v>
      </c>
      <c r="C1" t="s">
        <v>18</v>
      </c>
    </row>
    <row r="2" spans="1:18" x14ac:dyDescent="0.25">
      <c r="B2" s="2"/>
      <c r="D2" s="3"/>
      <c r="E2" s="3"/>
      <c r="F2" s="3"/>
      <c r="G2" s="3"/>
      <c r="H2" s="3" t="s">
        <v>20</v>
      </c>
      <c r="I2" s="3"/>
    </row>
    <row r="3" spans="1:18" x14ac:dyDescent="0.25">
      <c r="D3" t="s">
        <v>2</v>
      </c>
      <c r="E3" t="s">
        <v>3</v>
      </c>
      <c r="F3" s="4" t="s">
        <v>4</v>
      </c>
      <c r="G3" s="4" t="s">
        <v>22</v>
      </c>
      <c r="H3" t="s">
        <v>5</v>
      </c>
    </row>
    <row r="4" spans="1:18" x14ac:dyDescent="0.25">
      <c r="B4" t="s">
        <v>6</v>
      </c>
      <c r="C4" t="s">
        <v>7</v>
      </c>
      <c r="D4">
        <v>0</v>
      </c>
      <c r="E4">
        <f>(6.37+7.41)/2</f>
        <v>6.8900000000000006</v>
      </c>
      <c r="F4">
        <v>7.4</v>
      </c>
      <c r="G4">
        <v>7.8199999999999985</v>
      </c>
      <c r="H4">
        <f>(8.79+ 7.51)/2</f>
        <v>8.1499999999999986</v>
      </c>
      <c r="I4">
        <v>0</v>
      </c>
    </row>
    <row r="5" spans="1:18" x14ac:dyDescent="0.25">
      <c r="C5" t="s">
        <v>8</v>
      </c>
      <c r="D5">
        <f>(9.98+5.9)/2</f>
        <v>7.94</v>
      </c>
      <c r="E5">
        <f>(8.72+5.86)/2</f>
        <v>7.2900000000000009</v>
      </c>
      <c r="F5">
        <v>7.8000000000000007</v>
      </c>
      <c r="G5">
        <v>8.0950000000000006</v>
      </c>
      <c r="H5">
        <f>(11.13+ 5.72)/2</f>
        <v>8.4250000000000007</v>
      </c>
      <c r="I5">
        <v>13.440000000000001</v>
      </c>
      <c r="M5" t="s">
        <v>23</v>
      </c>
      <c r="N5" t="s">
        <v>24</v>
      </c>
      <c r="O5" t="s">
        <v>25</v>
      </c>
      <c r="P5" t="s">
        <v>22</v>
      </c>
      <c r="Q5" t="s">
        <v>26</v>
      </c>
      <c r="R5" t="s">
        <v>28</v>
      </c>
    </row>
    <row r="6" spans="1:18" x14ac:dyDescent="0.25">
      <c r="C6" t="s">
        <v>9</v>
      </c>
      <c r="D6">
        <f>(7.71+5.74)/2</f>
        <v>6.7249999999999996</v>
      </c>
      <c r="E6">
        <f>(7.83+7.26)/2</f>
        <v>7.5449999999999999</v>
      </c>
      <c r="F6">
        <v>8.0549999999999997</v>
      </c>
      <c r="G6">
        <v>9.5849999999999991</v>
      </c>
      <c r="H6">
        <f>(12.17+ 7.66)/2</f>
        <v>9.9149999999999991</v>
      </c>
      <c r="I6">
        <v>6.7249999999999996</v>
      </c>
      <c r="L6">
        <v>0</v>
      </c>
      <c r="M6">
        <f>AVERAGE(D29:D33)</f>
        <v>12.273</v>
      </c>
      <c r="N6">
        <f t="shared" ref="N6:Q6" si="0">AVERAGE(E29:E33)</f>
        <v>12.273</v>
      </c>
      <c r="O6">
        <f t="shared" si="0"/>
        <v>12.273</v>
      </c>
      <c r="P6">
        <f t="shared" si="0"/>
        <v>12.273</v>
      </c>
      <c r="Q6">
        <f t="shared" si="0"/>
        <v>12.273</v>
      </c>
      <c r="R6">
        <f>AVERAGE(M6:Q6)</f>
        <v>12.273</v>
      </c>
    </row>
    <row r="7" spans="1:18" x14ac:dyDescent="0.25">
      <c r="C7" t="s">
        <v>10</v>
      </c>
      <c r="D7">
        <f>(8.86+6.29)/2</f>
        <v>7.5749999999999993</v>
      </c>
      <c r="E7">
        <f>(8.83+8.46)/2</f>
        <v>8.6449999999999996</v>
      </c>
      <c r="F7">
        <v>9.1549999999999994</v>
      </c>
      <c r="G7">
        <v>10.334999999999999</v>
      </c>
      <c r="H7">
        <f>(9.42+ 11.91)/2</f>
        <v>10.664999999999999</v>
      </c>
      <c r="I7">
        <v>7.5749999999999993</v>
      </c>
      <c r="L7">
        <v>75</v>
      </c>
      <c r="M7">
        <f>AVERAGE(D24:D28)</f>
        <v>8.9169999999999998</v>
      </c>
      <c r="N7">
        <f t="shared" ref="N7:Q7" si="1">AVERAGE(E24:E28)</f>
        <v>9.5569999999999986</v>
      </c>
      <c r="O7">
        <f t="shared" si="1"/>
        <v>10.066999999999998</v>
      </c>
      <c r="P7">
        <f t="shared" si="1"/>
        <v>9.7169999999999987</v>
      </c>
      <c r="Q7">
        <f t="shared" si="1"/>
        <v>11.127000000000001</v>
      </c>
      <c r="R7">
        <f t="shared" ref="R7:R11" si="2">AVERAGE(M7:Q7)</f>
        <v>9.8769999999999989</v>
      </c>
    </row>
    <row r="8" spans="1:18" x14ac:dyDescent="0.25">
      <c r="C8" t="s">
        <v>11</v>
      </c>
      <c r="D8">
        <f>(9.25+4.07)/2</f>
        <v>6.66</v>
      </c>
      <c r="E8">
        <f>(6.69+10.9)/2</f>
        <v>8.7949999999999999</v>
      </c>
      <c r="F8">
        <v>9.3049999999999997</v>
      </c>
      <c r="G8">
        <v>8.67</v>
      </c>
      <c r="H8">
        <f>(8.52+ 9.48)/2</f>
        <v>9</v>
      </c>
      <c r="I8">
        <v>6.66</v>
      </c>
      <c r="L8">
        <v>150</v>
      </c>
      <c r="M8">
        <f>AVERAGE(D19:D23)</f>
        <v>6.6859999999999999</v>
      </c>
      <c r="N8">
        <f t="shared" ref="N8:Q8" si="3">AVERAGE(E19:E23)</f>
        <v>10.087</v>
      </c>
      <c r="O8">
        <f t="shared" si="3"/>
        <v>10.597</v>
      </c>
      <c r="P8">
        <f t="shared" si="3"/>
        <v>9.5169999999999995</v>
      </c>
      <c r="Q8">
        <f t="shared" si="3"/>
        <v>9.8469999999999995</v>
      </c>
      <c r="R8">
        <f t="shared" si="2"/>
        <v>9.3468</v>
      </c>
    </row>
    <row r="9" spans="1:18" x14ac:dyDescent="0.25">
      <c r="B9" t="s">
        <v>12</v>
      </c>
      <c r="C9" t="s">
        <v>7</v>
      </c>
      <c r="D9">
        <f>(6.69+4.56)/2</f>
        <v>5.625</v>
      </c>
      <c r="E9">
        <f>(7.9+6.58)/2</f>
        <v>7.24</v>
      </c>
      <c r="F9">
        <v>7.75</v>
      </c>
      <c r="G9">
        <v>12.209999999999999</v>
      </c>
      <c r="H9">
        <f>(11.83+ 13.25)/2</f>
        <v>12.54</v>
      </c>
      <c r="I9">
        <v>5.625</v>
      </c>
      <c r="L9">
        <v>300</v>
      </c>
      <c r="M9">
        <f>AVERAGE(D14:D18)</f>
        <v>6.9610000000000003</v>
      </c>
      <c r="N9">
        <f t="shared" ref="N9:Q9" si="4">AVERAGE(E14:E18)</f>
        <v>10.040000000000001</v>
      </c>
      <c r="O9">
        <f t="shared" si="4"/>
        <v>10.55</v>
      </c>
      <c r="P9">
        <f t="shared" si="4"/>
        <v>8.6440000000000001</v>
      </c>
      <c r="Q9">
        <f t="shared" si="4"/>
        <v>9.1740000000000013</v>
      </c>
      <c r="R9">
        <f t="shared" si="2"/>
        <v>9.0738000000000003</v>
      </c>
    </row>
    <row r="10" spans="1:18" x14ac:dyDescent="0.25">
      <c r="C10" t="s">
        <v>8</v>
      </c>
      <c r="D10">
        <f>(8.49+7.11)/2</f>
        <v>7.8000000000000007</v>
      </c>
      <c r="E10">
        <f>(13.06+9.07)/2</f>
        <v>11.065000000000001</v>
      </c>
      <c r="F10">
        <v>11.575000000000001</v>
      </c>
      <c r="G10">
        <v>12.225</v>
      </c>
      <c r="H10">
        <f>(13.66+ 11.45)/2</f>
        <v>12.555</v>
      </c>
      <c r="I10">
        <v>7.8000000000000007</v>
      </c>
      <c r="L10">
        <v>600</v>
      </c>
      <c r="M10">
        <f>AVERAGE(D9:D13)</f>
        <v>6.0529999999999999</v>
      </c>
      <c r="N10">
        <f t="shared" ref="N10:Q10" si="5">AVERAGE(E9:E13)</f>
        <v>10.010999999999999</v>
      </c>
      <c r="O10">
        <f t="shared" si="5"/>
        <v>10.521000000000001</v>
      </c>
      <c r="P10">
        <f t="shared" si="5"/>
        <v>9.5220000000000002</v>
      </c>
      <c r="Q10">
        <f t="shared" si="5"/>
        <v>9.8520000000000003</v>
      </c>
      <c r="R10">
        <f t="shared" si="2"/>
        <v>9.1918000000000006</v>
      </c>
    </row>
    <row r="11" spans="1:18" x14ac:dyDescent="0.25">
      <c r="C11" t="s">
        <v>9</v>
      </c>
      <c r="D11">
        <f>(4.22+3.08)/2</f>
        <v>3.65</v>
      </c>
      <c r="E11">
        <f>(10.86+12.82)/2</f>
        <v>11.84</v>
      </c>
      <c r="F11">
        <v>12.35</v>
      </c>
      <c r="G11">
        <v>9.26</v>
      </c>
      <c r="H11">
        <f>(9.42+ 9.76)/2</f>
        <v>9.59</v>
      </c>
      <c r="I11">
        <v>3.65</v>
      </c>
      <c r="L11">
        <v>1200</v>
      </c>
      <c r="M11">
        <f>AVERAGE(D4:D8)</f>
        <v>5.7799999999999994</v>
      </c>
      <c r="N11">
        <f t="shared" ref="N11:Q11" si="6">AVERAGE(E4:E8)</f>
        <v>7.8330000000000002</v>
      </c>
      <c r="O11">
        <f t="shared" si="6"/>
        <v>8.343</v>
      </c>
      <c r="P11">
        <f t="shared" si="6"/>
        <v>8.9009999999999998</v>
      </c>
      <c r="Q11">
        <f t="shared" si="6"/>
        <v>9.2309999999999999</v>
      </c>
      <c r="R11">
        <f t="shared" si="2"/>
        <v>8.0175999999999998</v>
      </c>
    </row>
    <row r="12" spans="1:18" x14ac:dyDescent="0.25">
      <c r="C12" t="s">
        <v>10</v>
      </c>
      <c r="D12">
        <f>(6.54+5.75)/2</f>
        <v>6.1449999999999996</v>
      </c>
      <c r="E12">
        <f>(14.32+9.16)/2</f>
        <v>11.74</v>
      </c>
      <c r="F12">
        <v>12.25</v>
      </c>
      <c r="G12">
        <v>6.46</v>
      </c>
      <c r="H12">
        <f>(6.5+ 7.08)/2</f>
        <v>6.79</v>
      </c>
      <c r="I12">
        <v>6.1449999999999996</v>
      </c>
    </row>
    <row r="13" spans="1:18" x14ac:dyDescent="0.25">
      <c r="C13" t="s">
        <v>11</v>
      </c>
      <c r="D13">
        <f>(8.14+5.95)/2</f>
        <v>7.0449999999999999</v>
      </c>
      <c r="E13">
        <f>(9.42+6.92)/2</f>
        <v>8.17</v>
      </c>
      <c r="F13">
        <v>8.68</v>
      </c>
      <c r="G13">
        <v>7.4550000000000001</v>
      </c>
      <c r="H13">
        <f>(8.46+ 7.11)/2</f>
        <v>7.7850000000000001</v>
      </c>
      <c r="I13">
        <v>7.0449999999999999</v>
      </c>
      <c r="M13" t="s">
        <v>29</v>
      </c>
    </row>
    <row r="14" spans="1:18" x14ac:dyDescent="0.25">
      <c r="B14" t="s">
        <v>13</v>
      </c>
      <c r="C14" t="s">
        <v>7</v>
      </c>
      <c r="D14">
        <f>(11.73+7.63)/2</f>
        <v>9.68</v>
      </c>
      <c r="E14">
        <f>(11.79+8.59)/2</f>
        <v>10.19</v>
      </c>
      <c r="F14">
        <v>10.7</v>
      </c>
      <c r="G14">
        <v>6.7850000000000001</v>
      </c>
      <c r="H14">
        <f>(5.82+ 8.41)/2</f>
        <v>7.1150000000000002</v>
      </c>
      <c r="I14">
        <v>9.68</v>
      </c>
      <c r="M14" t="s">
        <v>23</v>
      </c>
      <c r="N14">
        <f>AVERAGE(M6:M11)</f>
        <v>7.7783333333333324</v>
      </c>
    </row>
    <row r="15" spans="1:18" x14ac:dyDescent="0.25">
      <c r="C15" t="s">
        <v>8</v>
      </c>
      <c r="D15">
        <f>(10.14+9.71)/2</f>
        <v>9.9250000000000007</v>
      </c>
      <c r="E15">
        <f>(10.67+6.48)/2</f>
        <v>8.5749999999999993</v>
      </c>
      <c r="F15">
        <v>9.0849999999999991</v>
      </c>
      <c r="G15">
        <v>7.8549999999999986</v>
      </c>
      <c r="H15">
        <f>(8.86+ 7.51)/2</f>
        <v>8.1849999999999987</v>
      </c>
      <c r="I15">
        <v>9.9250000000000007</v>
      </c>
      <c r="M15" t="s">
        <v>24</v>
      </c>
      <c r="N15">
        <f>AVERAGE(N6:N11)</f>
        <v>9.9668333333333337</v>
      </c>
    </row>
    <row r="16" spans="1:18" x14ac:dyDescent="0.25">
      <c r="C16" t="s">
        <v>9</v>
      </c>
      <c r="D16">
        <f>(5.76+6.16)/2</f>
        <v>5.96</v>
      </c>
      <c r="E16">
        <f>(13.18+8.39)/2</f>
        <v>10.785</v>
      </c>
      <c r="F16">
        <v>11.295</v>
      </c>
      <c r="G16">
        <v>9.94</v>
      </c>
      <c r="H16">
        <f>(12.11+ 8.43)/2</f>
        <v>10.27</v>
      </c>
      <c r="I16">
        <v>310.88</v>
      </c>
      <c r="M16" t="s">
        <v>25</v>
      </c>
      <c r="N16">
        <f>AVERAGE(O6:O11)</f>
        <v>10.391833333333333</v>
      </c>
    </row>
    <row r="17" spans="2:14" x14ac:dyDescent="0.25">
      <c r="C17" t="s">
        <v>10</v>
      </c>
      <c r="D17">
        <f>(3.71+4.14)/2</f>
        <v>3.9249999999999998</v>
      </c>
      <c r="E17">
        <f>(12.3+8.07)/2</f>
        <v>10.185</v>
      </c>
      <c r="F17">
        <v>10.695</v>
      </c>
      <c r="G17">
        <v>7.7000000000000011</v>
      </c>
      <c r="H17">
        <f>(8.4+ 9.66)/2</f>
        <v>9.0300000000000011</v>
      </c>
      <c r="I17">
        <v>3.9249999999999998</v>
      </c>
      <c r="M17" t="s">
        <v>22</v>
      </c>
      <c r="N17">
        <f>AVERAGE(P6:P11)</f>
        <v>9.7623333333333324</v>
      </c>
    </row>
    <row r="18" spans="2:14" x14ac:dyDescent="0.25">
      <c r="C18" t="s">
        <v>11</v>
      </c>
      <c r="D18">
        <f>(6.29+4.34)/2</f>
        <v>5.3149999999999995</v>
      </c>
      <c r="E18">
        <f>(12.4+8.53)/2</f>
        <v>10.465</v>
      </c>
      <c r="F18">
        <v>10.975</v>
      </c>
      <c r="G18">
        <v>10.94</v>
      </c>
      <c r="H18">
        <f>(9.03+ 13.51)/2</f>
        <v>11.27</v>
      </c>
      <c r="I18">
        <v>5.3149999999999995</v>
      </c>
      <c r="M18" t="s">
        <v>26</v>
      </c>
      <c r="N18">
        <f>AVERAGE(Q6:Q11)</f>
        <v>10.250666666666666</v>
      </c>
    </row>
    <row r="19" spans="2:14" x14ac:dyDescent="0.25">
      <c r="B19" t="s">
        <v>14</v>
      </c>
      <c r="C19" t="s">
        <v>7</v>
      </c>
      <c r="D19">
        <f>(9.87+5.23)/2</f>
        <v>7.55</v>
      </c>
      <c r="E19">
        <f>(12.25+8.62)/2</f>
        <v>10.434999999999999</v>
      </c>
      <c r="F19">
        <v>10.944999999999999</v>
      </c>
      <c r="G19">
        <v>11.025</v>
      </c>
      <c r="H19">
        <f>(7.94+ 14.77)/2</f>
        <v>11.355</v>
      </c>
      <c r="I19">
        <v>7.55</v>
      </c>
    </row>
    <row r="20" spans="2:14" x14ac:dyDescent="0.25">
      <c r="C20" t="s">
        <v>8</v>
      </c>
      <c r="D20">
        <f>(5.62+10.51)/2</f>
        <v>8.0649999999999995</v>
      </c>
      <c r="E20">
        <f>(13.99+11.25)/2</f>
        <v>12.620000000000001</v>
      </c>
      <c r="F20">
        <v>13.13</v>
      </c>
      <c r="G20">
        <v>10.15</v>
      </c>
      <c r="H20">
        <f>(12.99+ 7.97)/2</f>
        <v>10.48</v>
      </c>
      <c r="I20">
        <v>8.0649999999999995</v>
      </c>
    </row>
    <row r="21" spans="2:14" x14ac:dyDescent="0.25">
      <c r="C21" t="s">
        <v>9</v>
      </c>
      <c r="D21">
        <f>(5.86+4.52)/2</f>
        <v>5.1899999999999995</v>
      </c>
      <c r="E21">
        <f>(7.23+7.26)/2</f>
        <v>7.2450000000000001</v>
      </c>
      <c r="F21">
        <v>7.7549999999999999</v>
      </c>
      <c r="G21">
        <v>6.26</v>
      </c>
      <c r="H21">
        <f>(7.34+ 5.84)/2</f>
        <v>6.59</v>
      </c>
      <c r="I21">
        <v>5.1899999999999995</v>
      </c>
    </row>
    <row r="22" spans="2:14" x14ac:dyDescent="0.25">
      <c r="C22" t="s">
        <v>10</v>
      </c>
      <c r="D22">
        <f>(4.41+6.7)/2</f>
        <v>5.5549999999999997</v>
      </c>
      <c r="E22">
        <f>(13.01+10.99)/2</f>
        <v>12</v>
      </c>
      <c r="F22">
        <v>12.51</v>
      </c>
      <c r="G22">
        <v>10.17</v>
      </c>
      <c r="H22">
        <f>(10.84+ 10.16)/2</f>
        <v>10.5</v>
      </c>
      <c r="I22">
        <v>5.5549999999999997</v>
      </c>
    </row>
    <row r="23" spans="2:14" x14ac:dyDescent="0.25">
      <c r="C23" t="s">
        <v>11</v>
      </c>
      <c r="D23">
        <f>(7.71+6.43)/2</f>
        <v>7.07</v>
      </c>
      <c r="E23">
        <f>(6.07+10.2)/2</f>
        <v>8.1349999999999998</v>
      </c>
      <c r="F23">
        <v>8.6449999999999996</v>
      </c>
      <c r="G23">
        <v>9.9799999999999986</v>
      </c>
      <c r="H23">
        <f>(10.17+10.45)/2</f>
        <v>10.309999999999999</v>
      </c>
      <c r="I23">
        <v>7.07</v>
      </c>
    </row>
    <row r="24" spans="2:14" x14ac:dyDescent="0.25">
      <c r="B24" t="s">
        <v>15</v>
      </c>
      <c r="C24" t="s">
        <v>7</v>
      </c>
      <c r="D24">
        <f>(8.14+5.76)/2</f>
        <v>6.95</v>
      </c>
      <c r="E24">
        <f>(9.47+8.44)/2</f>
        <v>8.9550000000000001</v>
      </c>
      <c r="F24">
        <v>9.4649999999999999</v>
      </c>
      <c r="G24">
        <v>10.58</v>
      </c>
      <c r="H24">
        <v>12.31</v>
      </c>
      <c r="I24">
        <v>6.95</v>
      </c>
    </row>
    <row r="25" spans="2:14" x14ac:dyDescent="0.25">
      <c r="C25" t="s">
        <v>8</v>
      </c>
      <c r="D25">
        <f>(7.58+9.37)/2</f>
        <v>8.4749999999999996</v>
      </c>
      <c r="E25">
        <f>(11.84+9.81)/2</f>
        <v>10.824999999999999</v>
      </c>
      <c r="F25">
        <v>11.334999999999999</v>
      </c>
      <c r="G25">
        <v>11.915000000000001</v>
      </c>
      <c r="H25">
        <f>(10.86+ 13.63)/2</f>
        <v>12.245000000000001</v>
      </c>
      <c r="I25">
        <v>8.4749999999999996</v>
      </c>
    </row>
    <row r="26" spans="2:14" x14ac:dyDescent="0.25">
      <c r="C26" t="s">
        <v>9</v>
      </c>
      <c r="D26">
        <f>(12.8+10.51)/2</f>
        <v>11.655000000000001</v>
      </c>
      <c r="E26">
        <f>(9.13+12.76)/2</f>
        <v>10.945</v>
      </c>
      <c r="F26">
        <v>11.455</v>
      </c>
      <c r="G26">
        <v>6.9850000000000003</v>
      </c>
      <c r="H26">
        <f>(10.65+  11.98)/2</f>
        <v>11.315000000000001</v>
      </c>
      <c r="I26">
        <v>11.655000000000001</v>
      </c>
    </row>
    <row r="27" spans="2:14" x14ac:dyDescent="0.25">
      <c r="C27" t="s">
        <v>10</v>
      </c>
      <c r="D27">
        <f>(7.39+6.4)/2</f>
        <v>6.8949999999999996</v>
      </c>
      <c r="E27">
        <f>(8.37+7.53)/2</f>
        <v>7.9499999999999993</v>
      </c>
      <c r="F27">
        <v>8.4599999999999991</v>
      </c>
      <c r="G27">
        <v>9.7799999999999994</v>
      </c>
      <c r="H27">
        <f>(10.44+9.78)/2</f>
        <v>10.11</v>
      </c>
      <c r="I27">
        <v>6.8949999999999996</v>
      </c>
    </row>
    <row r="28" spans="2:14" x14ac:dyDescent="0.25">
      <c r="C28" t="s">
        <v>11</v>
      </c>
      <c r="D28">
        <f>(12.09+9.13)/2</f>
        <v>10.61</v>
      </c>
      <c r="E28">
        <f>(9.28+8.94)/2</f>
        <v>9.11</v>
      </c>
      <c r="F28">
        <v>9.6199999999999992</v>
      </c>
      <c r="G28">
        <v>9.3249999999999993</v>
      </c>
      <c r="H28">
        <f>(12.76+ 6.55)/2</f>
        <v>9.6549999999999994</v>
      </c>
      <c r="I28">
        <v>10.61</v>
      </c>
    </row>
    <row r="29" spans="2:14" x14ac:dyDescent="0.25">
      <c r="B29" t="s">
        <v>16</v>
      </c>
      <c r="C29" t="s">
        <v>7</v>
      </c>
      <c r="D29">
        <f>(12.67+15.39)/2</f>
        <v>14.030000000000001</v>
      </c>
      <c r="E29">
        <f>(12.67+15.39)/2</f>
        <v>14.030000000000001</v>
      </c>
      <c r="F29">
        <f>(12.67+15.39)/2</f>
        <v>14.030000000000001</v>
      </c>
      <c r="G29">
        <f>(12.67+15.39)/2</f>
        <v>14.030000000000001</v>
      </c>
      <c r="H29">
        <f>(12.67+15.39)/2</f>
        <v>14.030000000000001</v>
      </c>
      <c r="I29">
        <v>14.030000000000001</v>
      </c>
    </row>
    <row r="30" spans="2:14" x14ac:dyDescent="0.25">
      <c r="C30" t="s">
        <v>8</v>
      </c>
      <c r="D30">
        <f>(14.01+11.68)/2</f>
        <v>12.844999999999999</v>
      </c>
      <c r="E30">
        <f>(14.01+11.68)/2</f>
        <v>12.844999999999999</v>
      </c>
      <c r="F30">
        <f>(14.01+11.68)/2</f>
        <v>12.844999999999999</v>
      </c>
      <c r="G30">
        <f>(14.01+11.68)/2</f>
        <v>12.844999999999999</v>
      </c>
      <c r="H30">
        <f>(14.01+11.68)/2</f>
        <v>12.844999999999999</v>
      </c>
      <c r="I30">
        <v>12.844999999999999</v>
      </c>
    </row>
    <row r="31" spans="2:14" x14ac:dyDescent="0.25">
      <c r="C31" t="s">
        <v>9</v>
      </c>
      <c r="D31">
        <f>(10.97+10.22)/2</f>
        <v>10.595000000000001</v>
      </c>
      <c r="E31">
        <f>(10.97+10.22)/2</f>
        <v>10.595000000000001</v>
      </c>
      <c r="F31">
        <f>(10.97+10.22)/2</f>
        <v>10.595000000000001</v>
      </c>
      <c r="G31">
        <f>(10.97+10.22)/2</f>
        <v>10.595000000000001</v>
      </c>
      <c r="H31">
        <f>(10.97+10.22)/2</f>
        <v>10.595000000000001</v>
      </c>
      <c r="I31">
        <v>10.595000000000001</v>
      </c>
    </row>
    <row r="32" spans="2:14" x14ac:dyDescent="0.25">
      <c r="C32" t="s">
        <v>10</v>
      </c>
      <c r="D32">
        <f>(14.49+11.46)/2</f>
        <v>12.975000000000001</v>
      </c>
      <c r="E32">
        <f>(14.49+11.46)/2</f>
        <v>12.975000000000001</v>
      </c>
      <c r="F32">
        <f>(14.49+11.46)/2</f>
        <v>12.975000000000001</v>
      </c>
      <c r="G32">
        <f>(14.49+11.46)/2</f>
        <v>12.975000000000001</v>
      </c>
      <c r="H32">
        <f>(14.49+11.46)/2</f>
        <v>12.975000000000001</v>
      </c>
      <c r="I32">
        <v>12.975000000000001</v>
      </c>
    </row>
    <row r="33" spans="3:9" x14ac:dyDescent="0.25">
      <c r="C33" t="s">
        <v>11</v>
      </c>
      <c r="D33">
        <f>(11.58+10.26)/2</f>
        <v>10.92</v>
      </c>
      <c r="E33">
        <f>(11.58+10.26)/2</f>
        <v>10.92</v>
      </c>
      <c r="F33">
        <f>(11.58+10.26)/2</f>
        <v>10.92</v>
      </c>
      <c r="G33">
        <f>(11.58+10.26)/2</f>
        <v>10.92</v>
      </c>
      <c r="H33">
        <f>(11.58+10.26)/2</f>
        <v>10.92</v>
      </c>
      <c r="I33">
        <v>10.92</v>
      </c>
    </row>
    <row r="34" spans="3:9" x14ac:dyDescent="0.25">
      <c r="I34">
        <v>6.8900000000000006</v>
      </c>
    </row>
    <row r="35" spans="3:9" x14ac:dyDescent="0.25">
      <c r="I35">
        <v>7.2900000000000009</v>
      </c>
    </row>
    <row r="36" spans="3:9" x14ac:dyDescent="0.25">
      <c r="I36">
        <v>7.5449999999999999</v>
      </c>
    </row>
    <row r="37" spans="3:9" x14ac:dyDescent="0.25">
      <c r="I37">
        <v>8.6449999999999996</v>
      </c>
    </row>
    <row r="38" spans="3:9" x14ac:dyDescent="0.25">
      <c r="I38">
        <v>8.7949999999999999</v>
      </c>
    </row>
    <row r="39" spans="3:9" x14ac:dyDescent="0.25">
      <c r="I39">
        <v>7.24</v>
      </c>
    </row>
    <row r="40" spans="3:9" x14ac:dyDescent="0.25">
      <c r="I40">
        <v>11.065000000000001</v>
      </c>
    </row>
    <row r="41" spans="3:9" x14ac:dyDescent="0.25">
      <c r="I41">
        <v>11.84</v>
      </c>
    </row>
    <row r="42" spans="3:9" x14ac:dyDescent="0.25">
      <c r="I42">
        <v>11.74</v>
      </c>
    </row>
    <row r="43" spans="3:9" x14ac:dyDescent="0.25">
      <c r="I43">
        <v>8.17</v>
      </c>
    </row>
    <row r="44" spans="3:9" x14ac:dyDescent="0.25">
      <c r="I44">
        <v>10.19</v>
      </c>
    </row>
    <row r="45" spans="3:9" x14ac:dyDescent="0.25">
      <c r="I45">
        <v>8.5749999999999993</v>
      </c>
    </row>
    <row r="46" spans="3:9" x14ac:dyDescent="0.25">
      <c r="I46">
        <v>10.785</v>
      </c>
    </row>
    <row r="47" spans="3:9" x14ac:dyDescent="0.25">
      <c r="I47">
        <v>10.185</v>
      </c>
    </row>
    <row r="48" spans="3:9" x14ac:dyDescent="0.25">
      <c r="I48">
        <v>10.465</v>
      </c>
    </row>
    <row r="49" spans="9:9" x14ac:dyDescent="0.25">
      <c r="I49">
        <v>10.434999999999999</v>
      </c>
    </row>
    <row r="50" spans="9:9" x14ac:dyDescent="0.25">
      <c r="I50">
        <v>12.620000000000001</v>
      </c>
    </row>
    <row r="51" spans="9:9" x14ac:dyDescent="0.25">
      <c r="I51">
        <v>7.2450000000000001</v>
      </c>
    </row>
    <row r="52" spans="9:9" x14ac:dyDescent="0.25">
      <c r="I52">
        <v>12</v>
      </c>
    </row>
    <row r="53" spans="9:9" x14ac:dyDescent="0.25">
      <c r="I53">
        <v>8.1349999999999998</v>
      </c>
    </row>
    <row r="54" spans="9:9" x14ac:dyDescent="0.25">
      <c r="I54">
        <v>8.9550000000000001</v>
      </c>
    </row>
    <row r="55" spans="9:9" x14ac:dyDescent="0.25">
      <c r="I55">
        <v>10.824999999999999</v>
      </c>
    </row>
    <row r="56" spans="9:9" x14ac:dyDescent="0.25">
      <c r="I56">
        <v>10.945</v>
      </c>
    </row>
    <row r="57" spans="9:9" x14ac:dyDescent="0.25">
      <c r="I57">
        <v>7.9499999999999993</v>
      </c>
    </row>
    <row r="58" spans="9:9" x14ac:dyDescent="0.25">
      <c r="I58">
        <v>9.11</v>
      </c>
    </row>
    <row r="59" spans="9:9" x14ac:dyDescent="0.25">
      <c r="I59">
        <v>14.030000000000001</v>
      </c>
    </row>
    <row r="60" spans="9:9" x14ac:dyDescent="0.25">
      <c r="I60">
        <v>12.844999999999999</v>
      </c>
    </row>
    <row r="61" spans="9:9" x14ac:dyDescent="0.25">
      <c r="I61">
        <v>10.595000000000001</v>
      </c>
    </row>
    <row r="62" spans="9:9" x14ac:dyDescent="0.25">
      <c r="I62">
        <v>12.975000000000001</v>
      </c>
    </row>
    <row r="63" spans="9:9" x14ac:dyDescent="0.25">
      <c r="I63">
        <v>10.92</v>
      </c>
    </row>
    <row r="64" spans="9:9" x14ac:dyDescent="0.25">
      <c r="I64">
        <v>7.4</v>
      </c>
    </row>
    <row r="65" spans="9:9" x14ac:dyDescent="0.25">
      <c r="I65">
        <v>7.8000000000000007</v>
      </c>
    </row>
    <row r="66" spans="9:9" x14ac:dyDescent="0.25">
      <c r="I66">
        <v>8.0549999999999997</v>
      </c>
    </row>
    <row r="67" spans="9:9" x14ac:dyDescent="0.25">
      <c r="I67">
        <v>9.1549999999999994</v>
      </c>
    </row>
    <row r="68" spans="9:9" x14ac:dyDescent="0.25">
      <c r="I68">
        <v>9.3049999999999997</v>
      </c>
    </row>
    <row r="69" spans="9:9" x14ac:dyDescent="0.25">
      <c r="I69">
        <v>7.75</v>
      </c>
    </row>
    <row r="70" spans="9:9" x14ac:dyDescent="0.25">
      <c r="I70">
        <v>11.575000000000001</v>
      </c>
    </row>
    <row r="71" spans="9:9" x14ac:dyDescent="0.25">
      <c r="I71">
        <v>12.35</v>
      </c>
    </row>
    <row r="72" spans="9:9" x14ac:dyDescent="0.25">
      <c r="I72">
        <v>12.25</v>
      </c>
    </row>
    <row r="73" spans="9:9" x14ac:dyDescent="0.25">
      <c r="I73">
        <v>8.68</v>
      </c>
    </row>
    <row r="74" spans="9:9" x14ac:dyDescent="0.25">
      <c r="I74">
        <v>10.7</v>
      </c>
    </row>
    <row r="75" spans="9:9" x14ac:dyDescent="0.25">
      <c r="I75">
        <v>9.0849999999999991</v>
      </c>
    </row>
    <row r="76" spans="9:9" x14ac:dyDescent="0.25">
      <c r="I76">
        <v>11.295</v>
      </c>
    </row>
    <row r="77" spans="9:9" x14ac:dyDescent="0.25">
      <c r="I77">
        <v>10.695</v>
      </c>
    </row>
    <row r="78" spans="9:9" x14ac:dyDescent="0.25">
      <c r="I78">
        <v>10.975</v>
      </c>
    </row>
    <row r="79" spans="9:9" x14ac:dyDescent="0.25">
      <c r="I79">
        <v>10.944999999999999</v>
      </c>
    </row>
    <row r="80" spans="9:9" x14ac:dyDescent="0.25">
      <c r="I80">
        <v>13.13</v>
      </c>
    </row>
    <row r="81" spans="9:9" x14ac:dyDescent="0.25">
      <c r="I81">
        <v>7.7549999999999999</v>
      </c>
    </row>
    <row r="82" spans="9:9" x14ac:dyDescent="0.25">
      <c r="I82">
        <v>12.51</v>
      </c>
    </row>
    <row r="83" spans="9:9" x14ac:dyDescent="0.25">
      <c r="I83">
        <v>8.6449999999999996</v>
      </c>
    </row>
    <row r="84" spans="9:9" x14ac:dyDescent="0.25">
      <c r="I84">
        <v>9.4649999999999999</v>
      </c>
    </row>
    <row r="85" spans="9:9" x14ac:dyDescent="0.25">
      <c r="I85">
        <v>11.334999999999999</v>
      </c>
    </row>
    <row r="86" spans="9:9" x14ac:dyDescent="0.25">
      <c r="I86">
        <v>11.455</v>
      </c>
    </row>
    <row r="87" spans="9:9" x14ac:dyDescent="0.25">
      <c r="I87">
        <v>8.4599999999999991</v>
      </c>
    </row>
    <row r="88" spans="9:9" x14ac:dyDescent="0.25">
      <c r="I88">
        <v>9.6199999999999992</v>
      </c>
    </row>
    <row r="89" spans="9:9" x14ac:dyDescent="0.25">
      <c r="I89">
        <v>14.030000000000001</v>
      </c>
    </row>
    <row r="90" spans="9:9" x14ac:dyDescent="0.25">
      <c r="I90">
        <v>12.844999999999999</v>
      </c>
    </row>
    <row r="91" spans="9:9" x14ac:dyDescent="0.25">
      <c r="I91">
        <v>10.595000000000001</v>
      </c>
    </row>
    <row r="92" spans="9:9" x14ac:dyDescent="0.25">
      <c r="I92">
        <v>12.975000000000001</v>
      </c>
    </row>
    <row r="93" spans="9:9" x14ac:dyDescent="0.25">
      <c r="I93">
        <v>10.92</v>
      </c>
    </row>
    <row r="94" spans="9:9" x14ac:dyDescent="0.25">
      <c r="I94">
        <v>7.8199999999999985</v>
      </c>
    </row>
    <row r="95" spans="9:9" x14ac:dyDescent="0.25">
      <c r="I95">
        <v>8.0950000000000006</v>
      </c>
    </row>
    <row r="96" spans="9:9" x14ac:dyDescent="0.25">
      <c r="I96">
        <v>9.5849999999999991</v>
      </c>
    </row>
    <row r="97" spans="9:9" x14ac:dyDescent="0.25">
      <c r="I97">
        <v>10.334999999999999</v>
      </c>
    </row>
    <row r="98" spans="9:9" x14ac:dyDescent="0.25">
      <c r="I98">
        <v>8.67</v>
      </c>
    </row>
    <row r="99" spans="9:9" x14ac:dyDescent="0.25">
      <c r="I99">
        <v>12.209999999999999</v>
      </c>
    </row>
    <row r="100" spans="9:9" x14ac:dyDescent="0.25">
      <c r="I100">
        <v>12.225</v>
      </c>
    </row>
    <row r="101" spans="9:9" x14ac:dyDescent="0.25">
      <c r="I101">
        <v>9.26</v>
      </c>
    </row>
    <row r="102" spans="9:9" x14ac:dyDescent="0.25">
      <c r="I102">
        <v>6.46</v>
      </c>
    </row>
    <row r="103" spans="9:9" x14ac:dyDescent="0.25">
      <c r="I103">
        <v>7.4550000000000001</v>
      </c>
    </row>
    <row r="104" spans="9:9" x14ac:dyDescent="0.25">
      <c r="I104">
        <v>6.7850000000000001</v>
      </c>
    </row>
    <row r="105" spans="9:9" x14ac:dyDescent="0.25">
      <c r="I105">
        <v>7.8549999999999986</v>
      </c>
    </row>
    <row r="106" spans="9:9" x14ac:dyDescent="0.25">
      <c r="I106">
        <v>9.94</v>
      </c>
    </row>
    <row r="107" spans="9:9" x14ac:dyDescent="0.25">
      <c r="I107">
        <v>7.7000000000000011</v>
      </c>
    </row>
    <row r="108" spans="9:9" x14ac:dyDescent="0.25">
      <c r="I108">
        <v>10.94</v>
      </c>
    </row>
    <row r="109" spans="9:9" x14ac:dyDescent="0.25">
      <c r="I109">
        <v>11.025</v>
      </c>
    </row>
    <row r="110" spans="9:9" x14ac:dyDescent="0.25">
      <c r="I110">
        <v>10.15</v>
      </c>
    </row>
    <row r="111" spans="9:9" x14ac:dyDescent="0.25">
      <c r="I111">
        <v>6.26</v>
      </c>
    </row>
    <row r="112" spans="9:9" x14ac:dyDescent="0.25">
      <c r="I112">
        <v>10.17</v>
      </c>
    </row>
    <row r="113" spans="9:9" x14ac:dyDescent="0.25">
      <c r="I113">
        <v>9.9799999999999986</v>
      </c>
    </row>
    <row r="114" spans="9:9" x14ac:dyDescent="0.25">
      <c r="I114">
        <v>-0.33</v>
      </c>
    </row>
    <row r="115" spans="9:9" x14ac:dyDescent="0.25">
      <c r="I115">
        <v>11.915000000000001</v>
      </c>
    </row>
    <row r="116" spans="9:9" x14ac:dyDescent="0.25">
      <c r="I116">
        <v>6.9850000000000003</v>
      </c>
    </row>
    <row r="117" spans="9:9" x14ac:dyDescent="0.25">
      <c r="I117">
        <v>9.7799999999999994</v>
      </c>
    </row>
    <row r="118" spans="9:9" x14ac:dyDescent="0.25">
      <c r="I118">
        <v>9.3249999999999993</v>
      </c>
    </row>
    <row r="119" spans="9:9" x14ac:dyDescent="0.25">
      <c r="I119">
        <v>14.030000000000001</v>
      </c>
    </row>
    <row r="120" spans="9:9" x14ac:dyDescent="0.25">
      <c r="I120">
        <v>12.844999999999999</v>
      </c>
    </row>
    <row r="121" spans="9:9" x14ac:dyDescent="0.25">
      <c r="I121">
        <v>10.595000000000001</v>
      </c>
    </row>
    <row r="122" spans="9:9" x14ac:dyDescent="0.25">
      <c r="I122">
        <v>12.975000000000001</v>
      </c>
    </row>
    <row r="123" spans="9:9" x14ac:dyDescent="0.25">
      <c r="I123">
        <v>10.92</v>
      </c>
    </row>
    <row r="124" spans="9:9" x14ac:dyDescent="0.25">
      <c r="I124">
        <f>(8.79+ 7.51)/2</f>
        <v>8.1499999999999986</v>
      </c>
    </row>
    <row r="125" spans="9:9" x14ac:dyDescent="0.25">
      <c r="I125">
        <f>(11.13+ 5.72)/2</f>
        <v>8.4250000000000007</v>
      </c>
    </row>
    <row r="126" spans="9:9" x14ac:dyDescent="0.25">
      <c r="I126">
        <f>(12.17+ 7.66)/2</f>
        <v>9.9149999999999991</v>
      </c>
    </row>
    <row r="127" spans="9:9" x14ac:dyDescent="0.25">
      <c r="I127">
        <f>(9.42+ 11.91)/2</f>
        <v>10.664999999999999</v>
      </c>
    </row>
    <row r="128" spans="9:9" x14ac:dyDescent="0.25">
      <c r="I128">
        <f>(8.52+ 9.48)/2</f>
        <v>9</v>
      </c>
    </row>
    <row r="129" spans="9:9" x14ac:dyDescent="0.25">
      <c r="I129">
        <f>(11.83+ 13.25)/2</f>
        <v>12.54</v>
      </c>
    </row>
    <row r="130" spans="9:9" x14ac:dyDescent="0.25">
      <c r="I130">
        <f>(13.66+ 11.45)/2</f>
        <v>12.555</v>
      </c>
    </row>
    <row r="131" spans="9:9" x14ac:dyDescent="0.25">
      <c r="I131">
        <f>(9.42+ 9.76)/2</f>
        <v>9.59</v>
      </c>
    </row>
    <row r="132" spans="9:9" x14ac:dyDescent="0.25">
      <c r="I132">
        <f>(6.5+ 7.08)/2</f>
        <v>6.79</v>
      </c>
    </row>
    <row r="133" spans="9:9" x14ac:dyDescent="0.25">
      <c r="I133">
        <f>(8.46+ 7.11)/2</f>
        <v>7.7850000000000001</v>
      </c>
    </row>
    <row r="134" spans="9:9" x14ac:dyDescent="0.25">
      <c r="I134">
        <f>(5.82+ 8.41)/2</f>
        <v>7.1150000000000002</v>
      </c>
    </row>
    <row r="135" spans="9:9" x14ac:dyDescent="0.25">
      <c r="I135">
        <f>(8.86+ 7.51)/2</f>
        <v>8.1849999999999987</v>
      </c>
    </row>
    <row r="136" spans="9:9" x14ac:dyDescent="0.25">
      <c r="I136">
        <f>(12.11+ 8.43)/2</f>
        <v>10.27</v>
      </c>
    </row>
    <row r="137" spans="9:9" x14ac:dyDescent="0.25">
      <c r="I137">
        <f>(8.4+ 7.66)/2</f>
        <v>8.0300000000000011</v>
      </c>
    </row>
    <row r="138" spans="9:9" x14ac:dyDescent="0.25">
      <c r="I138">
        <f>(9.03+ 13.51)/2</f>
        <v>11.27</v>
      </c>
    </row>
    <row r="139" spans="9:9" x14ac:dyDescent="0.25">
      <c r="I139">
        <f>(7.94+ 14.77)/2</f>
        <v>11.355</v>
      </c>
    </row>
    <row r="140" spans="9:9" x14ac:dyDescent="0.25">
      <c r="I140">
        <f>(12.99+ 7.97)/2</f>
        <v>10.48</v>
      </c>
    </row>
    <row r="141" spans="9:9" x14ac:dyDescent="0.25">
      <c r="I141">
        <f>(7.34+ 5.84)/2</f>
        <v>6.59</v>
      </c>
    </row>
    <row r="142" spans="9:9" x14ac:dyDescent="0.25">
      <c r="I142">
        <f>(10.84+ 10.16)/2</f>
        <v>10.5</v>
      </c>
    </row>
    <row r="143" spans="9:9" x14ac:dyDescent="0.25">
      <c r="I143">
        <f>(10.17+10.45)/2</f>
        <v>10.309999999999999</v>
      </c>
    </row>
    <row r="144" spans="9:9" x14ac:dyDescent="0.25">
      <c r="I144">
        <v>0</v>
      </c>
    </row>
    <row r="145" spans="9:9" x14ac:dyDescent="0.25">
      <c r="I145">
        <f>(10.86+ 13.63)/2</f>
        <v>12.245000000000001</v>
      </c>
    </row>
    <row r="146" spans="9:9" x14ac:dyDescent="0.25">
      <c r="I146">
        <f>(8.65+  5.98)/2</f>
        <v>7.3150000000000004</v>
      </c>
    </row>
    <row r="147" spans="9:9" x14ac:dyDescent="0.25">
      <c r="I147">
        <f>(10.44+9.78)/2</f>
        <v>10.11</v>
      </c>
    </row>
    <row r="148" spans="9:9" x14ac:dyDescent="0.25">
      <c r="I148">
        <f>(12.76+ 6.55)/2</f>
        <v>9.6549999999999994</v>
      </c>
    </row>
    <row r="149" spans="9:9" x14ac:dyDescent="0.25">
      <c r="I149">
        <f>(12.67+15.39)/2</f>
        <v>14.030000000000001</v>
      </c>
    </row>
    <row r="150" spans="9:9" x14ac:dyDescent="0.25">
      <c r="I150">
        <f>(14.01+11.68)/2</f>
        <v>12.844999999999999</v>
      </c>
    </row>
    <row r="151" spans="9:9" x14ac:dyDescent="0.25">
      <c r="I151">
        <f>(10.97+10.22)/2</f>
        <v>10.595000000000001</v>
      </c>
    </row>
    <row r="152" spans="9:9" x14ac:dyDescent="0.25">
      <c r="I152">
        <f>(14.49+11.46)/2</f>
        <v>12.975000000000001</v>
      </c>
    </row>
    <row r="153" spans="9:9" x14ac:dyDescent="0.25">
      <c r="I153">
        <f>(11.58+10.26)/2</f>
        <v>10.92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D0FC5-A43B-4856-A267-37B73951D855}">
  <dimension ref="A1:Q153"/>
  <sheetViews>
    <sheetView topLeftCell="C2" zoomScale="120" zoomScaleNormal="120" workbookViewId="0">
      <selection activeCell="L13" sqref="L13:M17"/>
    </sheetView>
  </sheetViews>
  <sheetFormatPr defaultRowHeight="15" x14ac:dyDescent="0.25"/>
  <cols>
    <col min="1" max="1" width="12.140625" bestFit="1" customWidth="1"/>
    <col min="2" max="2" width="28.42578125" bestFit="1" customWidth="1"/>
    <col min="4" max="6" width="10.7109375" bestFit="1" customWidth="1"/>
    <col min="7" max="7" width="10.7109375" customWidth="1"/>
    <col min="8" max="9" width="10.7109375" bestFit="1" customWidth="1"/>
  </cols>
  <sheetData>
    <row r="1" spans="1:17" x14ac:dyDescent="0.25">
      <c r="A1" s="1" t="s">
        <v>17</v>
      </c>
      <c r="B1" s="1" t="s">
        <v>0</v>
      </c>
      <c r="C1" t="s">
        <v>1</v>
      </c>
    </row>
    <row r="2" spans="1:17" x14ac:dyDescent="0.25">
      <c r="B2" s="2"/>
      <c r="D2" s="3"/>
      <c r="E2" s="3"/>
      <c r="F2" s="3"/>
      <c r="G2" s="3"/>
      <c r="H2" s="3" t="s">
        <v>20</v>
      </c>
      <c r="I2" s="3"/>
    </row>
    <row r="3" spans="1:17" x14ac:dyDescent="0.25">
      <c r="D3" t="s">
        <v>2</v>
      </c>
      <c r="E3" t="s">
        <v>3</v>
      </c>
      <c r="F3" s="4" t="s">
        <v>4</v>
      </c>
      <c r="G3" s="4" t="s">
        <v>21</v>
      </c>
      <c r="H3" t="s">
        <v>5</v>
      </c>
      <c r="I3" t="s">
        <v>27</v>
      </c>
    </row>
    <row r="4" spans="1:17" x14ac:dyDescent="0.25">
      <c r="B4" t="s">
        <v>6</v>
      </c>
      <c r="C4" t="s">
        <v>7</v>
      </c>
      <c r="D4">
        <f>(8.33+4.94)/2</f>
        <v>6.6349999999999998</v>
      </c>
      <c r="E4">
        <f>(10.72+8.12)/2</f>
        <v>9.42</v>
      </c>
      <c r="F4">
        <v>9.93</v>
      </c>
      <c r="G4">
        <v>9.7449999999999992</v>
      </c>
      <c r="H4">
        <f>(11.36+8.77)/2</f>
        <v>10.065</v>
      </c>
      <c r="I4">
        <v>6.6349999999999998</v>
      </c>
    </row>
    <row r="5" spans="1:17" x14ac:dyDescent="0.25">
      <c r="C5" t="s">
        <v>8</v>
      </c>
      <c r="D5">
        <f>(8.1+5.18)/2</f>
        <v>6.64</v>
      </c>
      <c r="E5">
        <f>(6.79+7.03)/2</f>
        <v>6.91</v>
      </c>
      <c r="F5">
        <v>7.42</v>
      </c>
      <c r="G5">
        <v>13.94</v>
      </c>
      <c r="H5">
        <f>(14.92+  13.6)/2</f>
        <v>14.26</v>
      </c>
      <c r="I5">
        <v>6.64</v>
      </c>
      <c r="L5">
        <v>0</v>
      </c>
      <c r="M5">
        <v>10</v>
      </c>
      <c r="N5">
        <v>20</v>
      </c>
      <c r="O5">
        <v>40</v>
      </c>
      <c r="P5">
        <v>60</v>
      </c>
      <c r="Q5" t="s">
        <v>28</v>
      </c>
    </row>
    <row r="6" spans="1:17" x14ac:dyDescent="0.25">
      <c r="C6" t="s">
        <v>9</v>
      </c>
      <c r="D6">
        <f>(9.49+6.19)/2</f>
        <v>7.84</v>
      </c>
      <c r="E6">
        <f>(13.08+8.2)/2</f>
        <v>10.64</v>
      </c>
      <c r="F6">
        <v>11.15</v>
      </c>
      <c r="G6">
        <v>6.7650000000000006</v>
      </c>
      <c r="H6">
        <f>(8.55+5.62)/2</f>
        <v>7.0850000000000009</v>
      </c>
      <c r="I6">
        <v>7.84</v>
      </c>
      <c r="K6">
        <v>0</v>
      </c>
      <c r="L6">
        <f>AVERAGE(D29:D33)</f>
        <v>12.273</v>
      </c>
      <c r="M6">
        <f t="shared" ref="M6:P6" si="0">AVERAGE(E29:E33)</f>
        <v>12.273</v>
      </c>
      <c r="N6">
        <f t="shared" si="0"/>
        <v>12.273</v>
      </c>
      <c r="O6">
        <f t="shared" si="0"/>
        <v>12.273</v>
      </c>
      <c r="P6">
        <f t="shared" si="0"/>
        <v>12.273</v>
      </c>
      <c r="Q6">
        <f>AVERAGE(L6:P6)</f>
        <v>12.273</v>
      </c>
    </row>
    <row r="7" spans="1:17" x14ac:dyDescent="0.25">
      <c r="C7" t="s">
        <v>10</v>
      </c>
      <c r="D7">
        <f>(6.13+4.15)/2</f>
        <v>5.1400000000000006</v>
      </c>
      <c r="E7">
        <f>(12.07+9.67)/2</f>
        <v>10.870000000000001</v>
      </c>
      <c r="F7">
        <v>11.38</v>
      </c>
      <c r="G7">
        <v>8.9499999999999993</v>
      </c>
      <c r="H7">
        <f>(9.69+ 8.85)/2</f>
        <v>9.27</v>
      </c>
      <c r="I7">
        <v>5.1400000000000006</v>
      </c>
      <c r="K7">
        <v>157.5</v>
      </c>
      <c r="L7">
        <f>AVERAGE(D24:D28)</f>
        <v>8.8660000000000014</v>
      </c>
      <c r="M7">
        <f t="shared" ref="M7:P7" si="1">AVERAGE(E24:E28)</f>
        <v>9.8487500000000008</v>
      </c>
      <c r="N7">
        <f t="shared" si="1"/>
        <v>10.358750000000001</v>
      </c>
      <c r="O7">
        <f t="shared" si="1"/>
        <v>11.613999999999999</v>
      </c>
      <c r="P7">
        <f t="shared" si="1"/>
        <v>11.934000000000001</v>
      </c>
      <c r="Q7">
        <f t="shared" ref="Q7:Q11" si="2">AVERAGE(L7:P7)</f>
        <v>10.5243</v>
      </c>
    </row>
    <row r="8" spans="1:17" x14ac:dyDescent="0.25">
      <c r="C8" t="s">
        <v>11</v>
      </c>
      <c r="D8">
        <f>(6.16+7.38)/2</f>
        <v>6.77</v>
      </c>
      <c r="E8">
        <f>(8.95+7.54)/2</f>
        <v>8.2449999999999992</v>
      </c>
      <c r="F8">
        <v>8.754999999999999</v>
      </c>
      <c r="G8">
        <v>12.41</v>
      </c>
      <c r="H8">
        <f>(11.29+ 14.17)/2</f>
        <v>12.73</v>
      </c>
      <c r="I8">
        <v>6.77</v>
      </c>
      <c r="K8">
        <v>315</v>
      </c>
      <c r="L8">
        <f>AVERAGE(D19:D23)</f>
        <v>8.2979999999999983</v>
      </c>
      <c r="M8">
        <f t="shared" ref="M8:P8" si="3">AVERAGE(E19:E23)</f>
        <v>9.4490000000000016</v>
      </c>
      <c r="N8">
        <f t="shared" si="3"/>
        <v>9.9589999999999996</v>
      </c>
      <c r="O8">
        <f t="shared" si="3"/>
        <v>12.145</v>
      </c>
      <c r="P8">
        <f t="shared" si="3"/>
        <v>12.465</v>
      </c>
      <c r="Q8">
        <f t="shared" si="2"/>
        <v>10.463200000000001</v>
      </c>
    </row>
    <row r="9" spans="1:17" x14ac:dyDescent="0.25">
      <c r="B9" t="s">
        <v>12</v>
      </c>
      <c r="C9" t="s">
        <v>7</v>
      </c>
      <c r="D9">
        <f>(6.33+7.26)/2</f>
        <v>6.7949999999999999</v>
      </c>
      <c r="E9">
        <f>(7.82+11.94)/2</f>
        <v>9.879999999999999</v>
      </c>
      <c r="F9">
        <v>10.389999999999999</v>
      </c>
      <c r="G9">
        <v>10.754999999999999</v>
      </c>
      <c r="H9">
        <f>(11.5+ 10.65)/2</f>
        <v>11.074999999999999</v>
      </c>
      <c r="I9">
        <v>6.7949999999999999</v>
      </c>
      <c r="K9">
        <v>630</v>
      </c>
      <c r="L9">
        <f>AVERAGE(D14:D18)</f>
        <v>9.1039999999999992</v>
      </c>
      <c r="M9">
        <f t="shared" ref="M9:P9" si="4">AVERAGE(E14:E18)</f>
        <v>9.5129999999999999</v>
      </c>
      <c r="N9">
        <f t="shared" si="4"/>
        <v>10.023</v>
      </c>
      <c r="O9">
        <f t="shared" si="4"/>
        <v>12.991000000000003</v>
      </c>
      <c r="P9">
        <f t="shared" si="4"/>
        <v>13.311000000000002</v>
      </c>
      <c r="Q9">
        <f t="shared" si="2"/>
        <v>10.9884</v>
      </c>
    </row>
    <row r="10" spans="1:17" x14ac:dyDescent="0.25">
      <c r="C10" t="s">
        <v>8</v>
      </c>
      <c r="D10">
        <f>(7.59+9.54)/2</f>
        <v>8.5649999999999995</v>
      </c>
      <c r="E10">
        <f>(10.09+14.27)/2</f>
        <v>12.18</v>
      </c>
      <c r="F10">
        <v>12.69</v>
      </c>
      <c r="G10">
        <v>13.285</v>
      </c>
      <c r="H10">
        <f>(9.67+ 17.54)/2</f>
        <v>13.605</v>
      </c>
      <c r="I10">
        <v>8.5649999999999995</v>
      </c>
      <c r="K10">
        <v>1260</v>
      </c>
      <c r="L10">
        <f>AVERAGE(D9:D13)</f>
        <v>8.32</v>
      </c>
      <c r="M10">
        <f t="shared" ref="M10:P10" si="5">AVERAGE(E9:E13)</f>
        <v>10.538</v>
      </c>
      <c r="N10">
        <f t="shared" si="5"/>
        <v>11.047999999999998</v>
      </c>
      <c r="O10">
        <f t="shared" si="5"/>
        <v>11.443000000000001</v>
      </c>
      <c r="P10">
        <f t="shared" si="5"/>
        <v>11.763</v>
      </c>
      <c r="Q10">
        <f t="shared" si="2"/>
        <v>10.622400000000001</v>
      </c>
    </row>
    <row r="11" spans="1:17" x14ac:dyDescent="0.25">
      <c r="C11" t="s">
        <v>9</v>
      </c>
      <c r="D11">
        <f>(7.96+12.95)/2</f>
        <v>10.455</v>
      </c>
      <c r="E11">
        <f>(9+10.05)/2</f>
        <v>9.5250000000000004</v>
      </c>
      <c r="F11">
        <v>10.035</v>
      </c>
      <c r="G11">
        <v>11.094999999999999</v>
      </c>
      <c r="H11">
        <f>(11.83+ 11)/2</f>
        <v>11.414999999999999</v>
      </c>
      <c r="I11">
        <v>10.455</v>
      </c>
      <c r="K11">
        <v>2520</v>
      </c>
      <c r="L11">
        <f>AVERAGE(D4:D8)</f>
        <v>6.6049999999999995</v>
      </c>
      <c r="M11">
        <f t="shared" ref="M11:P11" si="6">AVERAGE(E4:E8)</f>
        <v>9.2170000000000005</v>
      </c>
      <c r="N11">
        <f t="shared" si="6"/>
        <v>9.7270000000000003</v>
      </c>
      <c r="O11">
        <f t="shared" si="6"/>
        <v>10.362</v>
      </c>
      <c r="P11">
        <f t="shared" si="6"/>
        <v>10.681999999999999</v>
      </c>
      <c r="Q11">
        <f t="shared" si="2"/>
        <v>9.3186</v>
      </c>
    </row>
    <row r="12" spans="1:17" x14ac:dyDescent="0.25">
      <c r="C12" t="s">
        <v>10</v>
      </c>
      <c r="D12">
        <f>(5.85+11.1)/2</f>
        <v>8.4749999999999996</v>
      </c>
      <c r="E12">
        <f>(12.57+11.69)/2</f>
        <v>12.129999999999999</v>
      </c>
      <c r="F12">
        <v>12.639999999999999</v>
      </c>
      <c r="G12">
        <v>9.5300000000000011</v>
      </c>
      <c r="H12">
        <f>(10.71+ 8.99)/2</f>
        <v>9.8500000000000014</v>
      </c>
      <c r="I12">
        <v>8.4749999999999996</v>
      </c>
    </row>
    <row r="13" spans="1:17" x14ac:dyDescent="0.25">
      <c r="C13" t="s">
        <v>11</v>
      </c>
      <c r="D13">
        <f>(6.26+8.36)/2</f>
        <v>7.31</v>
      </c>
      <c r="E13">
        <f>(8.99+8.96)/2</f>
        <v>8.9750000000000014</v>
      </c>
      <c r="F13">
        <v>9.4850000000000012</v>
      </c>
      <c r="G13">
        <v>12.55</v>
      </c>
      <c r="H13">
        <f>(8.88+ 16.86)/2</f>
        <v>12.870000000000001</v>
      </c>
      <c r="I13">
        <v>7.31</v>
      </c>
      <c r="L13">
        <v>0</v>
      </c>
      <c r="M13">
        <f>AVERAGE(L6:L11)</f>
        <v>8.9109999999999996</v>
      </c>
    </row>
    <row r="14" spans="1:17" x14ac:dyDescent="0.25">
      <c r="B14" t="s">
        <v>13</v>
      </c>
      <c r="C14" t="s">
        <v>7</v>
      </c>
      <c r="D14">
        <f>(6.17+8.78)/2</f>
        <v>7.4749999999999996</v>
      </c>
      <c r="E14">
        <f>(6.96+6.45)/2</f>
        <v>6.7050000000000001</v>
      </c>
      <c r="F14">
        <v>7.2149999999999999</v>
      </c>
      <c r="G14">
        <v>14.629999999999999</v>
      </c>
      <c r="H14">
        <f>(13.72+16.18)/2</f>
        <v>14.95</v>
      </c>
      <c r="I14">
        <v>7.4749999999999996</v>
      </c>
      <c r="L14">
        <v>10</v>
      </c>
      <c r="M14">
        <f>AVERAGE(M6:M11)</f>
        <v>10.139791666666667</v>
      </c>
    </row>
    <row r="15" spans="1:17" x14ac:dyDescent="0.25">
      <c r="C15" t="s">
        <v>8</v>
      </c>
      <c r="D15">
        <f>(11.09+7.45)/2</f>
        <v>9.27</v>
      </c>
      <c r="E15">
        <f>(10.89+11.76)/2</f>
        <v>11.324999999999999</v>
      </c>
      <c r="F15">
        <v>11.834999999999999</v>
      </c>
      <c r="G15">
        <v>12.01</v>
      </c>
      <c r="H15">
        <f>(12.01+ 12.65)/2</f>
        <v>12.33</v>
      </c>
      <c r="I15">
        <v>9.27</v>
      </c>
      <c r="L15">
        <v>20</v>
      </c>
      <c r="M15">
        <f>AVERAGE(N6:N11)</f>
        <v>10.564791666666666</v>
      </c>
    </row>
    <row r="16" spans="1:17" x14ac:dyDescent="0.25">
      <c r="C16" t="s">
        <v>9</v>
      </c>
      <c r="D16">
        <f>(14.49+9.58)/2</f>
        <v>12.035</v>
      </c>
      <c r="E16">
        <f>(10.95+6.27)/2</f>
        <v>8.61</v>
      </c>
      <c r="F16">
        <v>9.1199999999999992</v>
      </c>
      <c r="G16">
        <v>11.154999999999999</v>
      </c>
      <c r="H16">
        <f>(12.79+ 10.16)/2</f>
        <v>11.475</v>
      </c>
      <c r="I16">
        <v>12.035</v>
      </c>
      <c r="L16">
        <v>40</v>
      </c>
      <c r="M16">
        <f>AVERAGE(O6:O11)</f>
        <v>11.804666666666664</v>
      </c>
    </row>
    <row r="17" spans="2:13" x14ac:dyDescent="0.25">
      <c r="C17" t="s">
        <v>10</v>
      </c>
      <c r="D17">
        <f>(8.96+9.93)/2</f>
        <v>9.4450000000000003</v>
      </c>
      <c r="E17">
        <f>(11.87+8.89)/2</f>
        <v>10.379999999999999</v>
      </c>
      <c r="F17">
        <v>10.889999999999999</v>
      </c>
      <c r="G17">
        <v>15.855</v>
      </c>
      <c r="H17">
        <f>(17.96+ 14.39)/2</f>
        <v>16.175000000000001</v>
      </c>
      <c r="I17">
        <v>9.4450000000000003</v>
      </c>
      <c r="L17">
        <v>60</v>
      </c>
      <c r="M17">
        <f>AVERAGE(P6:P11)</f>
        <v>12.071333333333333</v>
      </c>
    </row>
    <row r="18" spans="2:13" x14ac:dyDescent="0.25">
      <c r="C18" t="s">
        <v>11</v>
      </c>
      <c r="D18">
        <f>(6.64+7.95)/2</f>
        <v>7.2949999999999999</v>
      </c>
      <c r="E18">
        <f>(12.02+9.07)/2</f>
        <v>10.545</v>
      </c>
      <c r="F18">
        <v>11.055</v>
      </c>
      <c r="G18">
        <v>11.305</v>
      </c>
      <c r="H18">
        <f>(9.94+ 13.31)/2</f>
        <v>11.625</v>
      </c>
      <c r="I18">
        <v>7.2949999999999999</v>
      </c>
    </row>
    <row r="19" spans="2:13" x14ac:dyDescent="0.25">
      <c r="B19" t="s">
        <v>14</v>
      </c>
      <c r="C19" t="s">
        <v>7</v>
      </c>
      <c r="D19">
        <f>(6.96+7.87)/2</f>
        <v>7.415</v>
      </c>
      <c r="E19">
        <f>(9.06+9.52)/2</f>
        <v>9.2899999999999991</v>
      </c>
      <c r="F19">
        <v>9.7999999999999989</v>
      </c>
      <c r="G19">
        <v>9.9599999999999991</v>
      </c>
      <c r="H19">
        <f>(10.28+ 10.28)/2</f>
        <v>10.28</v>
      </c>
      <c r="I19">
        <v>6.9350000000000005</v>
      </c>
    </row>
    <row r="20" spans="2:13" x14ac:dyDescent="0.25">
      <c r="C20" t="s">
        <v>8</v>
      </c>
      <c r="D20">
        <f>(12.84+8.46)/2</f>
        <v>10.65</v>
      </c>
      <c r="E20">
        <f>(9.33+7.36)/2</f>
        <v>8.3450000000000006</v>
      </c>
      <c r="F20">
        <v>8.8550000000000004</v>
      </c>
      <c r="G20">
        <v>10.039999999999999</v>
      </c>
      <c r="H20">
        <f>(11.29+ 9.43)/2</f>
        <v>10.36</v>
      </c>
      <c r="I20">
        <v>9.65</v>
      </c>
    </row>
    <row r="21" spans="2:13" x14ac:dyDescent="0.25">
      <c r="C21" t="s">
        <v>9</v>
      </c>
      <c r="D21">
        <f>(7.91+7.63)/2</f>
        <v>7.77</v>
      </c>
      <c r="E21">
        <f>(8.28+11.42)/2</f>
        <v>9.85</v>
      </c>
      <c r="F21">
        <v>10.36</v>
      </c>
      <c r="G21">
        <v>14.815</v>
      </c>
      <c r="H21">
        <f>(17.66+ 12.61)/2</f>
        <v>15.135</v>
      </c>
      <c r="I21">
        <v>6.77</v>
      </c>
    </row>
    <row r="22" spans="2:13" x14ac:dyDescent="0.25">
      <c r="C22" t="s">
        <v>10</v>
      </c>
      <c r="D22">
        <f>(7.14+7.21)/2</f>
        <v>7.1749999999999998</v>
      </c>
      <c r="E22">
        <f>(13.86+10.04)/2</f>
        <v>11.95</v>
      </c>
      <c r="F22">
        <v>12.459999999999999</v>
      </c>
      <c r="G22">
        <v>12.725</v>
      </c>
      <c r="H22">
        <f>(12.48+ 13.61)/2</f>
        <v>13.045</v>
      </c>
      <c r="I22">
        <v>7.1749999999999998</v>
      </c>
    </row>
    <row r="23" spans="2:13" x14ac:dyDescent="0.25">
      <c r="C23" t="s">
        <v>11</v>
      </c>
      <c r="D23">
        <f>(7.22+9.74)/2</f>
        <v>8.48</v>
      </c>
      <c r="E23">
        <f>(8.27+7.35)/2</f>
        <v>7.81</v>
      </c>
      <c r="F23">
        <v>8.32</v>
      </c>
      <c r="G23">
        <v>13.184999999999999</v>
      </c>
      <c r="H23">
        <f>(12.45+ 14.56)/2</f>
        <v>13.504999999999999</v>
      </c>
      <c r="I23">
        <v>6.98</v>
      </c>
    </row>
    <row r="24" spans="2:13" x14ac:dyDescent="0.25">
      <c r="B24" t="s">
        <v>15</v>
      </c>
      <c r="C24" t="s">
        <v>7</v>
      </c>
      <c r="D24">
        <f>(8.98+8.05)/2</f>
        <v>8.5150000000000006</v>
      </c>
      <c r="E24">
        <f>(9.05+13.12)/2</f>
        <v>11.085000000000001</v>
      </c>
      <c r="F24">
        <v>11.595000000000001</v>
      </c>
      <c r="G24">
        <v>11.610000000000001</v>
      </c>
      <c r="H24" s="4">
        <f>AVERAGE(H25:H27)</f>
        <v>11.930000000000001</v>
      </c>
      <c r="I24">
        <v>7.0150000000000006</v>
      </c>
    </row>
    <row r="25" spans="2:13" x14ac:dyDescent="0.25">
      <c r="C25" t="s">
        <v>8</v>
      </c>
      <c r="D25">
        <f>(8.21+9.42)/2</f>
        <v>8.8150000000000013</v>
      </c>
      <c r="E25">
        <f>(9.35+8.29)/2</f>
        <v>8.82</v>
      </c>
      <c r="F25">
        <v>9.33</v>
      </c>
      <c r="G25">
        <v>14.530000000000001</v>
      </c>
      <c r="H25">
        <f>(11.51+ 18.19)/2</f>
        <v>14.850000000000001</v>
      </c>
      <c r="I25">
        <v>7.8150000000000004</v>
      </c>
    </row>
    <row r="26" spans="2:13" x14ac:dyDescent="0.25">
      <c r="C26" t="s">
        <v>9</v>
      </c>
      <c r="D26">
        <f>(8.48+9.04)/2</f>
        <v>8.76</v>
      </c>
      <c r="E26" s="4">
        <f>(E24+E25+E27+E28)/4</f>
        <v>9.8487500000000008</v>
      </c>
      <c r="F26">
        <v>10.358750000000001</v>
      </c>
      <c r="G26">
        <v>8.3000000000000007</v>
      </c>
      <c r="H26">
        <f>(9.26+  7.98)/2</f>
        <v>8.620000000000001</v>
      </c>
      <c r="I26">
        <v>7.26</v>
      </c>
    </row>
    <row r="27" spans="2:13" x14ac:dyDescent="0.25">
      <c r="C27" t="s">
        <v>10</v>
      </c>
      <c r="D27">
        <f>(8.86+8.04)/2</f>
        <v>8.4499999999999993</v>
      </c>
      <c r="E27">
        <f>(8.86+10.45)/2</f>
        <v>9.6549999999999994</v>
      </c>
      <c r="F27">
        <v>10.164999999999999</v>
      </c>
      <c r="G27">
        <v>12</v>
      </c>
      <c r="H27">
        <f>(12.78+  11.86)/2</f>
        <v>12.32</v>
      </c>
      <c r="I27">
        <v>7.4499999999999993</v>
      </c>
    </row>
    <row r="28" spans="2:13" x14ac:dyDescent="0.25">
      <c r="C28" t="s">
        <v>11</v>
      </c>
      <c r="D28">
        <f>(10.04+9.54)/2</f>
        <v>9.7899999999999991</v>
      </c>
      <c r="E28">
        <f>(10.84+8.83)/2</f>
        <v>9.8350000000000009</v>
      </c>
      <c r="F28">
        <v>10.345000000000001</v>
      </c>
      <c r="G28">
        <v>11.629999999999999</v>
      </c>
      <c r="H28" s="4">
        <v>11.95</v>
      </c>
      <c r="I28">
        <v>9.2899999999999991</v>
      </c>
    </row>
    <row r="29" spans="2:13" x14ac:dyDescent="0.25">
      <c r="B29" t="s">
        <v>16</v>
      </c>
      <c r="C29" t="s">
        <v>7</v>
      </c>
      <c r="D29">
        <f>(12.67+15.39)/2</f>
        <v>14.030000000000001</v>
      </c>
      <c r="E29">
        <f>(12.67+15.39)/2</f>
        <v>14.030000000000001</v>
      </c>
      <c r="F29">
        <f>(12.67+15.39)/2</f>
        <v>14.030000000000001</v>
      </c>
      <c r="G29">
        <f>(12.67+15.39)/2</f>
        <v>14.030000000000001</v>
      </c>
      <c r="H29">
        <f>(12.67+15.39)/2</f>
        <v>14.030000000000001</v>
      </c>
      <c r="I29">
        <v>14.030000000000001</v>
      </c>
    </row>
    <row r="30" spans="2:13" x14ac:dyDescent="0.25">
      <c r="C30" t="s">
        <v>8</v>
      </c>
      <c r="D30">
        <f>(14.01+11.68)/2</f>
        <v>12.844999999999999</v>
      </c>
      <c r="E30">
        <f>(14.01+11.68)/2</f>
        <v>12.844999999999999</v>
      </c>
      <c r="F30">
        <f>(14.01+11.68)/2</f>
        <v>12.844999999999999</v>
      </c>
      <c r="G30">
        <f>(14.01+11.68)/2</f>
        <v>12.844999999999999</v>
      </c>
      <c r="H30">
        <f>(14.01+11.68)/2</f>
        <v>12.844999999999999</v>
      </c>
      <c r="I30">
        <v>12.844999999999999</v>
      </c>
      <c r="J30">
        <v>2</v>
      </c>
    </row>
    <row r="31" spans="2:13" x14ac:dyDescent="0.25">
      <c r="C31" t="s">
        <v>9</v>
      </c>
      <c r="D31">
        <f>(10.97+10.22)/2</f>
        <v>10.595000000000001</v>
      </c>
      <c r="E31">
        <f>(10.97+10.22)/2</f>
        <v>10.595000000000001</v>
      </c>
      <c r="F31">
        <f>(10.97+10.22)/2</f>
        <v>10.595000000000001</v>
      </c>
      <c r="G31">
        <f>(10.97+10.22)/2</f>
        <v>10.595000000000001</v>
      </c>
      <c r="H31">
        <f>(10.97+10.22)/2</f>
        <v>10.595000000000001</v>
      </c>
      <c r="I31">
        <v>10.595000000000001</v>
      </c>
    </row>
    <row r="32" spans="2:13" x14ac:dyDescent="0.25">
      <c r="C32" t="s">
        <v>10</v>
      </c>
      <c r="D32">
        <f>(14.49+11.46)/2</f>
        <v>12.975000000000001</v>
      </c>
      <c r="E32">
        <f>(14.49+11.46)/2</f>
        <v>12.975000000000001</v>
      </c>
      <c r="F32">
        <f>(14.49+11.46)/2</f>
        <v>12.975000000000001</v>
      </c>
      <c r="G32">
        <f>(14.49+11.46)/2</f>
        <v>12.975000000000001</v>
      </c>
      <c r="H32">
        <f>(14.49+11.46)/2</f>
        <v>12.975000000000001</v>
      </c>
      <c r="I32">
        <v>12.975000000000001</v>
      </c>
    </row>
    <row r="33" spans="3:9" x14ac:dyDescent="0.25">
      <c r="C33" t="s">
        <v>11</v>
      </c>
      <c r="D33">
        <f>(11.58+10.26)/2</f>
        <v>10.92</v>
      </c>
      <c r="E33">
        <f>(11.58+10.26)/2</f>
        <v>10.92</v>
      </c>
      <c r="F33">
        <f>(11.58+10.26)/2</f>
        <v>10.92</v>
      </c>
      <c r="G33">
        <f>(11.58+10.26)/2</f>
        <v>10.92</v>
      </c>
      <c r="H33">
        <f>(11.58+10.26)/2</f>
        <v>10.92</v>
      </c>
      <c r="I33">
        <v>10.92</v>
      </c>
    </row>
    <row r="34" spans="3:9" x14ac:dyDescent="0.25">
      <c r="I34">
        <v>9.42</v>
      </c>
    </row>
    <row r="35" spans="3:9" x14ac:dyDescent="0.25">
      <c r="I35">
        <v>6.91</v>
      </c>
    </row>
    <row r="36" spans="3:9" x14ac:dyDescent="0.25">
      <c r="I36">
        <v>10.64</v>
      </c>
    </row>
    <row r="37" spans="3:9" x14ac:dyDescent="0.25">
      <c r="I37">
        <v>10.870000000000001</v>
      </c>
    </row>
    <row r="38" spans="3:9" x14ac:dyDescent="0.25">
      <c r="I38">
        <v>8.2449999999999992</v>
      </c>
    </row>
    <row r="39" spans="3:9" x14ac:dyDescent="0.25">
      <c r="I39">
        <v>9.879999999999999</v>
      </c>
    </row>
    <row r="40" spans="3:9" x14ac:dyDescent="0.25">
      <c r="I40">
        <v>12.18</v>
      </c>
    </row>
    <row r="41" spans="3:9" x14ac:dyDescent="0.25">
      <c r="I41">
        <v>9.5250000000000004</v>
      </c>
    </row>
    <row r="42" spans="3:9" x14ac:dyDescent="0.25">
      <c r="I42">
        <v>12.129999999999999</v>
      </c>
    </row>
    <row r="43" spans="3:9" x14ac:dyDescent="0.25">
      <c r="I43">
        <v>8.9750000000000014</v>
      </c>
    </row>
    <row r="44" spans="3:9" x14ac:dyDescent="0.25">
      <c r="I44">
        <v>6.7050000000000001</v>
      </c>
    </row>
    <row r="45" spans="3:9" x14ac:dyDescent="0.25">
      <c r="I45">
        <v>11.324999999999999</v>
      </c>
    </row>
    <row r="46" spans="3:9" x14ac:dyDescent="0.25">
      <c r="I46">
        <v>8.61</v>
      </c>
    </row>
    <row r="47" spans="3:9" x14ac:dyDescent="0.25">
      <c r="I47">
        <v>10.379999999999999</v>
      </c>
    </row>
    <row r="48" spans="3:9" x14ac:dyDescent="0.25">
      <c r="I48">
        <v>10.545</v>
      </c>
    </row>
    <row r="49" spans="9:9" x14ac:dyDescent="0.25">
      <c r="I49">
        <v>9.2899999999999991</v>
      </c>
    </row>
    <row r="50" spans="9:9" x14ac:dyDescent="0.25">
      <c r="I50">
        <v>8.3450000000000006</v>
      </c>
    </row>
    <row r="51" spans="9:9" x14ac:dyDescent="0.25">
      <c r="I51">
        <v>9.85</v>
      </c>
    </row>
    <row r="52" spans="9:9" x14ac:dyDescent="0.25">
      <c r="I52">
        <v>11.95</v>
      </c>
    </row>
    <row r="53" spans="9:9" x14ac:dyDescent="0.25">
      <c r="I53">
        <v>7.81</v>
      </c>
    </row>
    <row r="54" spans="9:9" x14ac:dyDescent="0.25">
      <c r="I54">
        <v>11.085000000000001</v>
      </c>
    </row>
    <row r="55" spans="9:9" x14ac:dyDescent="0.25">
      <c r="I55">
        <v>8.82</v>
      </c>
    </row>
    <row r="56" spans="9:9" x14ac:dyDescent="0.25">
      <c r="I56">
        <v>9.8487500000000008</v>
      </c>
    </row>
    <row r="57" spans="9:9" x14ac:dyDescent="0.25">
      <c r="I57">
        <v>9.6549999999999994</v>
      </c>
    </row>
    <row r="58" spans="9:9" x14ac:dyDescent="0.25">
      <c r="I58">
        <v>9.8350000000000009</v>
      </c>
    </row>
    <row r="59" spans="9:9" x14ac:dyDescent="0.25">
      <c r="I59">
        <v>14.030000000000001</v>
      </c>
    </row>
    <row r="60" spans="9:9" x14ac:dyDescent="0.25">
      <c r="I60">
        <v>12.844999999999999</v>
      </c>
    </row>
    <row r="61" spans="9:9" x14ac:dyDescent="0.25">
      <c r="I61">
        <v>10.595000000000001</v>
      </c>
    </row>
    <row r="62" spans="9:9" x14ac:dyDescent="0.25">
      <c r="I62">
        <v>12.975000000000001</v>
      </c>
    </row>
    <row r="63" spans="9:9" x14ac:dyDescent="0.25">
      <c r="I63">
        <v>10.92</v>
      </c>
    </row>
    <row r="64" spans="9:9" x14ac:dyDescent="0.25">
      <c r="I64">
        <v>9.93</v>
      </c>
    </row>
    <row r="65" spans="9:9" x14ac:dyDescent="0.25">
      <c r="I65">
        <v>7.42</v>
      </c>
    </row>
    <row r="66" spans="9:9" x14ac:dyDescent="0.25">
      <c r="I66">
        <v>11.15</v>
      </c>
    </row>
    <row r="67" spans="9:9" x14ac:dyDescent="0.25">
      <c r="I67">
        <v>11.38</v>
      </c>
    </row>
    <row r="68" spans="9:9" x14ac:dyDescent="0.25">
      <c r="I68">
        <v>8.754999999999999</v>
      </c>
    </row>
    <row r="69" spans="9:9" x14ac:dyDescent="0.25">
      <c r="I69">
        <v>10.389999999999999</v>
      </c>
    </row>
    <row r="70" spans="9:9" x14ac:dyDescent="0.25">
      <c r="I70">
        <v>12.69</v>
      </c>
    </row>
    <row r="71" spans="9:9" x14ac:dyDescent="0.25">
      <c r="I71">
        <v>10.035</v>
      </c>
    </row>
    <row r="72" spans="9:9" x14ac:dyDescent="0.25">
      <c r="I72">
        <v>12.639999999999999</v>
      </c>
    </row>
    <row r="73" spans="9:9" x14ac:dyDescent="0.25">
      <c r="I73">
        <v>9.4850000000000012</v>
      </c>
    </row>
    <row r="74" spans="9:9" x14ac:dyDescent="0.25">
      <c r="I74">
        <v>7.2149999999999999</v>
      </c>
    </row>
    <row r="75" spans="9:9" x14ac:dyDescent="0.25">
      <c r="I75">
        <v>11.834999999999999</v>
      </c>
    </row>
    <row r="76" spans="9:9" x14ac:dyDescent="0.25">
      <c r="I76">
        <v>9.1199999999999992</v>
      </c>
    </row>
    <row r="77" spans="9:9" x14ac:dyDescent="0.25">
      <c r="I77">
        <v>10.889999999999999</v>
      </c>
    </row>
    <row r="78" spans="9:9" x14ac:dyDescent="0.25">
      <c r="I78">
        <v>11.055</v>
      </c>
    </row>
    <row r="79" spans="9:9" x14ac:dyDescent="0.25">
      <c r="I79">
        <v>9.7999999999999989</v>
      </c>
    </row>
    <row r="80" spans="9:9" x14ac:dyDescent="0.25">
      <c r="I80">
        <v>8.8550000000000004</v>
      </c>
    </row>
    <row r="81" spans="9:9" x14ac:dyDescent="0.25">
      <c r="I81">
        <v>10.36</v>
      </c>
    </row>
    <row r="82" spans="9:9" x14ac:dyDescent="0.25">
      <c r="I82">
        <v>12.459999999999999</v>
      </c>
    </row>
    <row r="83" spans="9:9" x14ac:dyDescent="0.25">
      <c r="I83">
        <v>8.32</v>
      </c>
    </row>
    <row r="84" spans="9:9" x14ac:dyDescent="0.25">
      <c r="I84">
        <v>11.595000000000001</v>
      </c>
    </row>
    <row r="85" spans="9:9" x14ac:dyDescent="0.25">
      <c r="I85">
        <v>9.33</v>
      </c>
    </row>
    <row r="86" spans="9:9" x14ac:dyDescent="0.25">
      <c r="I86">
        <v>10.358750000000001</v>
      </c>
    </row>
    <row r="87" spans="9:9" x14ac:dyDescent="0.25">
      <c r="I87">
        <v>10.164999999999999</v>
      </c>
    </row>
    <row r="88" spans="9:9" x14ac:dyDescent="0.25">
      <c r="I88">
        <v>10.345000000000001</v>
      </c>
    </row>
    <row r="89" spans="9:9" x14ac:dyDescent="0.25">
      <c r="I89">
        <v>14.030000000000001</v>
      </c>
    </row>
    <row r="90" spans="9:9" x14ac:dyDescent="0.25">
      <c r="I90">
        <v>12.844999999999999</v>
      </c>
    </row>
    <row r="91" spans="9:9" x14ac:dyDescent="0.25">
      <c r="I91">
        <v>10.595000000000001</v>
      </c>
    </row>
    <row r="92" spans="9:9" x14ac:dyDescent="0.25">
      <c r="I92">
        <v>12.975000000000001</v>
      </c>
    </row>
    <row r="93" spans="9:9" x14ac:dyDescent="0.25">
      <c r="I93">
        <v>10.92</v>
      </c>
    </row>
    <row r="94" spans="9:9" x14ac:dyDescent="0.25">
      <c r="I94">
        <v>9.7449999999999992</v>
      </c>
    </row>
    <row r="95" spans="9:9" x14ac:dyDescent="0.25">
      <c r="I95">
        <v>13.94</v>
      </c>
    </row>
    <row r="96" spans="9:9" x14ac:dyDescent="0.25">
      <c r="I96">
        <v>6.7650000000000006</v>
      </c>
    </row>
    <row r="97" spans="9:9" x14ac:dyDescent="0.25">
      <c r="I97">
        <v>8.9499999999999993</v>
      </c>
    </row>
    <row r="98" spans="9:9" x14ac:dyDescent="0.25">
      <c r="I98">
        <v>12.41</v>
      </c>
    </row>
    <row r="99" spans="9:9" x14ac:dyDescent="0.25">
      <c r="I99">
        <v>10.754999999999999</v>
      </c>
    </row>
    <row r="100" spans="9:9" x14ac:dyDescent="0.25">
      <c r="I100">
        <v>13.285</v>
      </c>
    </row>
    <row r="101" spans="9:9" x14ac:dyDescent="0.25">
      <c r="I101">
        <v>11.094999999999999</v>
      </c>
    </row>
    <row r="102" spans="9:9" x14ac:dyDescent="0.25">
      <c r="I102">
        <v>9.5300000000000011</v>
      </c>
    </row>
    <row r="103" spans="9:9" x14ac:dyDescent="0.25">
      <c r="I103">
        <v>12.55</v>
      </c>
    </row>
    <row r="104" spans="9:9" x14ac:dyDescent="0.25">
      <c r="I104">
        <v>14.629999999999999</v>
      </c>
    </row>
    <row r="105" spans="9:9" x14ac:dyDescent="0.25">
      <c r="I105">
        <v>12.01</v>
      </c>
    </row>
    <row r="106" spans="9:9" x14ac:dyDescent="0.25">
      <c r="I106">
        <v>11.154999999999999</v>
      </c>
    </row>
    <row r="107" spans="9:9" x14ac:dyDescent="0.25">
      <c r="I107">
        <v>15.855</v>
      </c>
    </row>
    <row r="108" spans="9:9" x14ac:dyDescent="0.25">
      <c r="I108">
        <v>11.305</v>
      </c>
    </row>
    <row r="109" spans="9:9" x14ac:dyDescent="0.25">
      <c r="I109">
        <v>9.9599999999999991</v>
      </c>
    </row>
    <row r="110" spans="9:9" x14ac:dyDescent="0.25">
      <c r="I110">
        <v>10.039999999999999</v>
      </c>
    </row>
    <row r="111" spans="9:9" x14ac:dyDescent="0.25">
      <c r="I111">
        <v>14.815</v>
      </c>
    </row>
    <row r="112" spans="9:9" x14ac:dyDescent="0.25">
      <c r="I112">
        <v>12.725</v>
      </c>
    </row>
    <row r="113" spans="9:9" x14ac:dyDescent="0.25">
      <c r="I113">
        <v>13.184999999999999</v>
      </c>
    </row>
    <row r="114" spans="9:9" x14ac:dyDescent="0.25">
      <c r="I114">
        <v>11.610000000000001</v>
      </c>
    </row>
    <row r="115" spans="9:9" x14ac:dyDescent="0.25">
      <c r="I115">
        <v>14.530000000000001</v>
      </c>
    </row>
    <row r="116" spans="9:9" x14ac:dyDescent="0.25">
      <c r="I116">
        <v>8.3000000000000007</v>
      </c>
    </row>
    <row r="117" spans="9:9" x14ac:dyDescent="0.25">
      <c r="I117">
        <v>12</v>
      </c>
    </row>
    <row r="118" spans="9:9" x14ac:dyDescent="0.25">
      <c r="I118">
        <v>11.629999999999999</v>
      </c>
    </row>
    <row r="119" spans="9:9" x14ac:dyDescent="0.25">
      <c r="I119">
        <v>14.030000000000001</v>
      </c>
    </row>
    <row r="120" spans="9:9" x14ac:dyDescent="0.25">
      <c r="I120">
        <v>12.844999999999999</v>
      </c>
    </row>
    <row r="121" spans="9:9" x14ac:dyDescent="0.25">
      <c r="I121">
        <v>10.595000000000001</v>
      </c>
    </row>
    <row r="122" spans="9:9" x14ac:dyDescent="0.25">
      <c r="I122">
        <v>12.975000000000001</v>
      </c>
    </row>
    <row r="123" spans="9:9" x14ac:dyDescent="0.25">
      <c r="I123">
        <v>10.92</v>
      </c>
    </row>
    <row r="124" spans="9:9" x14ac:dyDescent="0.25">
      <c r="I124">
        <v>10.065</v>
      </c>
    </row>
    <row r="125" spans="9:9" x14ac:dyDescent="0.25">
      <c r="I125">
        <v>14.26</v>
      </c>
    </row>
    <row r="126" spans="9:9" x14ac:dyDescent="0.25">
      <c r="I126">
        <v>7.0850000000000009</v>
      </c>
    </row>
    <row r="127" spans="9:9" x14ac:dyDescent="0.25">
      <c r="I127">
        <v>9.27</v>
      </c>
    </row>
    <row r="128" spans="9:9" x14ac:dyDescent="0.25">
      <c r="I128">
        <v>12.73</v>
      </c>
    </row>
    <row r="129" spans="9:9" x14ac:dyDescent="0.25">
      <c r="I129">
        <v>11.074999999999999</v>
      </c>
    </row>
    <row r="130" spans="9:9" x14ac:dyDescent="0.25">
      <c r="I130">
        <v>13.605</v>
      </c>
    </row>
    <row r="131" spans="9:9" x14ac:dyDescent="0.25">
      <c r="I131">
        <v>11.414999999999999</v>
      </c>
    </row>
    <row r="132" spans="9:9" x14ac:dyDescent="0.25">
      <c r="I132">
        <v>9.8500000000000014</v>
      </c>
    </row>
    <row r="133" spans="9:9" x14ac:dyDescent="0.25">
      <c r="I133">
        <v>12.870000000000001</v>
      </c>
    </row>
    <row r="134" spans="9:9" x14ac:dyDescent="0.25">
      <c r="I134">
        <v>14.95</v>
      </c>
    </row>
    <row r="135" spans="9:9" x14ac:dyDescent="0.25">
      <c r="I135">
        <v>12.33</v>
      </c>
    </row>
    <row r="136" spans="9:9" x14ac:dyDescent="0.25">
      <c r="I136">
        <v>11.475</v>
      </c>
    </row>
    <row r="137" spans="9:9" x14ac:dyDescent="0.25">
      <c r="I137">
        <v>16.175000000000001</v>
      </c>
    </row>
    <row r="138" spans="9:9" x14ac:dyDescent="0.25">
      <c r="I138">
        <v>11.625</v>
      </c>
    </row>
    <row r="139" spans="9:9" x14ac:dyDescent="0.25">
      <c r="I139">
        <v>10.28</v>
      </c>
    </row>
    <row r="140" spans="9:9" x14ac:dyDescent="0.25">
      <c r="I140">
        <v>10.36</v>
      </c>
    </row>
    <row r="141" spans="9:9" x14ac:dyDescent="0.25">
      <c r="I141">
        <v>15.135</v>
      </c>
    </row>
    <row r="142" spans="9:9" x14ac:dyDescent="0.25">
      <c r="I142">
        <v>13.045</v>
      </c>
    </row>
    <row r="143" spans="9:9" x14ac:dyDescent="0.25">
      <c r="I143">
        <v>13.504999999999999</v>
      </c>
    </row>
    <row r="144" spans="9:9" x14ac:dyDescent="0.25">
      <c r="I144">
        <v>11.930000000000001</v>
      </c>
    </row>
    <row r="145" spans="9:9" x14ac:dyDescent="0.25">
      <c r="I145">
        <v>14.850000000000001</v>
      </c>
    </row>
    <row r="146" spans="9:9" x14ac:dyDescent="0.25">
      <c r="I146">
        <v>8.620000000000001</v>
      </c>
    </row>
    <row r="147" spans="9:9" x14ac:dyDescent="0.25">
      <c r="I147">
        <v>12.32</v>
      </c>
    </row>
    <row r="148" spans="9:9" x14ac:dyDescent="0.25">
      <c r="I148">
        <v>11.95</v>
      </c>
    </row>
    <row r="149" spans="9:9" x14ac:dyDescent="0.25">
      <c r="I149">
        <v>14.030000000000001</v>
      </c>
    </row>
    <row r="150" spans="9:9" x14ac:dyDescent="0.25">
      <c r="I150">
        <v>12.844999999999999</v>
      </c>
    </row>
    <row r="151" spans="9:9" x14ac:dyDescent="0.25">
      <c r="I151">
        <v>10.595000000000001</v>
      </c>
    </row>
    <row r="152" spans="9:9" x14ac:dyDescent="0.25">
      <c r="I152">
        <v>12.975000000000001</v>
      </c>
    </row>
    <row r="153" spans="9:9" x14ac:dyDescent="0.25">
      <c r="I153">
        <v>10.92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indaz</vt:lpstr>
      <vt:lpstr>sulf</vt:lpstr>
      <vt:lpstr>clomaz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Bruna Ferrari S</dc:creator>
  <cp:lastModifiedBy>Bruna Ferrari</cp:lastModifiedBy>
  <dcterms:created xsi:type="dcterms:W3CDTF">2023-05-16T17:53:31Z</dcterms:created>
  <dcterms:modified xsi:type="dcterms:W3CDTF">2023-11-21T14:00:00Z</dcterms:modified>
</cp:coreProperties>
</file>